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rubio\Desktop\CARMEN ALICIA\PLANEACIÓN 2021\DOCUMENTOS PARA SUBIR A PAGINA WEB\INFORMES A ORGANISMOS DE INSPECCIÓN Y VIGILANCIA\2020\SEGUIMIENTO A PAAC\"/>
    </mc:Choice>
  </mc:AlternateContent>
  <bookViews>
    <workbookView xWindow="0" yWindow="0" windowWidth="20490" windowHeight="7650" activeTab="1"/>
  </bookViews>
  <sheets>
    <sheet name="Mapa Riesgos Corrupción " sheetId="2" r:id="rId1"/>
    <sheet name="PAAC 2020 - 2do cuatrimestre" sheetId="1" r:id="rId2"/>
  </sheets>
  <externalReferences>
    <externalReference r:id="rId3"/>
  </externalReferences>
  <definedNames>
    <definedName name="_xlnm._FilterDatabase" localSheetId="1" hidden="1">'PAAC 2020 - 2do cuatrimestre'!$A$12:$L$78</definedName>
    <definedName name="_xlnm.Print_Area" localSheetId="0">'Mapa Riesgos Corrupción '!$A$1:$AI$83</definedName>
    <definedName name="_xlnm.Print_Area" localSheetId="1">'PAAC 2020 - 2do cuatrimestre'!$A$1:$AA$95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 i="1" l="1"/>
  <c r="T18" i="1"/>
  <c r="Q74" i="1" l="1"/>
  <c r="Q57" i="1" l="1"/>
  <c r="N73" i="2"/>
  <c r="M73" i="2"/>
  <c r="A73" i="2"/>
  <c r="N72" i="2"/>
  <c r="M72" i="2"/>
  <c r="N71" i="2"/>
  <c r="M71" i="2"/>
  <c r="Q70" i="2"/>
  <c r="S70" i="2" s="1"/>
  <c r="O70" i="2"/>
  <c r="N70" i="2"/>
  <c r="M70" i="2"/>
  <c r="H70" i="2"/>
  <c r="F70" i="2"/>
  <c r="M69" i="2"/>
  <c r="M68" i="2"/>
  <c r="M67" i="2"/>
  <c r="Q66" i="2"/>
  <c r="O66" i="2"/>
  <c r="N66" i="2"/>
  <c r="M66" i="2"/>
  <c r="F66" i="2"/>
  <c r="J66" i="2" s="1"/>
  <c r="M64" i="2"/>
  <c r="Q63" i="2"/>
  <c r="O63" i="2"/>
  <c r="N63" i="2"/>
  <c r="M63" i="2"/>
  <c r="H63" i="2"/>
  <c r="J63" i="2" s="1"/>
  <c r="F63" i="2"/>
  <c r="M62" i="2"/>
  <c r="Q61" i="2"/>
  <c r="O61" i="2"/>
  <c r="S61" i="2" s="1"/>
  <c r="N61" i="2"/>
  <c r="M61" i="2"/>
  <c r="H61" i="2"/>
  <c r="F61" i="2"/>
  <c r="N60" i="2"/>
  <c r="M60" i="2"/>
  <c r="N59" i="2"/>
  <c r="M59" i="2"/>
  <c r="Q58" i="2"/>
  <c r="O58" i="2"/>
  <c r="N58" i="2"/>
  <c r="M58" i="2"/>
  <c r="H58" i="2"/>
  <c r="F58" i="2"/>
  <c r="M57" i="2"/>
  <c r="M56" i="2"/>
  <c r="Q55" i="2"/>
  <c r="O55" i="2"/>
  <c r="N55" i="2"/>
  <c r="M55" i="2"/>
  <c r="H55" i="2"/>
  <c r="F55" i="2"/>
  <c r="M53" i="2"/>
  <c r="Q52" i="2"/>
  <c r="O52" i="2"/>
  <c r="N52" i="2"/>
  <c r="M52" i="2"/>
  <c r="H52" i="2"/>
  <c r="F52" i="2"/>
  <c r="A51" i="2"/>
  <c r="M50" i="2"/>
  <c r="M49" i="2"/>
  <c r="Q48" i="2"/>
  <c r="O48" i="2"/>
  <c r="N48" i="2"/>
  <c r="M48" i="2"/>
  <c r="H48" i="2"/>
  <c r="F48" i="2"/>
  <c r="M46" i="2"/>
  <c r="M45" i="2"/>
  <c r="Q44" i="2"/>
  <c r="O44" i="2"/>
  <c r="N44" i="2"/>
  <c r="M44" i="2"/>
  <c r="H44" i="2"/>
  <c r="F44" i="2"/>
  <c r="Q42" i="2"/>
  <c r="O42" i="2"/>
  <c r="N42" i="2"/>
  <c r="M42" i="2"/>
  <c r="H42" i="2"/>
  <c r="F42" i="2"/>
  <c r="Q40" i="2"/>
  <c r="O40" i="2"/>
  <c r="N40" i="2"/>
  <c r="M40" i="2"/>
  <c r="H40" i="2"/>
  <c r="F40" i="2"/>
  <c r="N38" i="2"/>
  <c r="M38" i="2"/>
  <c r="Q37" i="2"/>
  <c r="O37" i="2"/>
  <c r="N37" i="2"/>
  <c r="M37" i="2"/>
  <c r="H37" i="2"/>
  <c r="F37" i="2"/>
  <c r="Q35" i="2"/>
  <c r="O35" i="2"/>
  <c r="S35" i="2" s="1"/>
  <c r="N35" i="2"/>
  <c r="M35" i="2"/>
  <c r="H35" i="2"/>
  <c r="F35" i="2"/>
  <c r="M34" i="2"/>
  <c r="M33" i="2"/>
  <c r="Q32" i="2"/>
  <c r="O32" i="2"/>
  <c r="N32" i="2"/>
  <c r="M32" i="2"/>
  <c r="H32" i="2"/>
  <c r="F32" i="2"/>
  <c r="M30" i="2"/>
  <c r="Q29" i="2"/>
  <c r="O29" i="2"/>
  <c r="N29" i="2"/>
  <c r="M29" i="2"/>
  <c r="H29" i="2"/>
  <c r="F29" i="2"/>
  <c r="J29" i="2" s="1"/>
  <c r="N28" i="2"/>
  <c r="M28" i="2"/>
  <c r="Q27" i="2"/>
  <c r="O27" i="2"/>
  <c r="N27" i="2"/>
  <c r="M27" i="2"/>
  <c r="H27" i="2"/>
  <c r="F27" i="2"/>
  <c r="J27" i="2" s="1"/>
  <c r="Q25" i="2"/>
  <c r="O25" i="2"/>
  <c r="N25" i="2"/>
  <c r="M25" i="2"/>
  <c r="H25" i="2"/>
  <c r="F25" i="2"/>
  <c r="N24" i="2"/>
  <c r="M24" i="2"/>
  <c r="N23" i="2"/>
  <c r="M23" i="2"/>
  <c r="Q22" i="2"/>
  <c r="O22" i="2"/>
  <c r="N22" i="2"/>
  <c r="M22" i="2"/>
  <c r="H22" i="2"/>
  <c r="F22" i="2"/>
  <c r="J22" i="2" s="1"/>
  <c r="M21" i="2"/>
  <c r="Q19" i="2"/>
  <c r="O19" i="2"/>
  <c r="N19" i="2"/>
  <c r="M19" i="2"/>
  <c r="H19" i="2"/>
  <c r="F19" i="2"/>
  <c r="M18" i="2"/>
  <c r="M17" i="2"/>
  <c r="Q16" i="2"/>
  <c r="O16" i="2"/>
  <c r="N16" i="2"/>
  <c r="M16" i="2"/>
  <c r="J16" i="2"/>
  <c r="M15" i="2"/>
  <c r="M14" i="2"/>
  <c r="AH13" i="2"/>
  <c r="Q13" i="2"/>
  <c r="O13" i="2"/>
  <c r="N13" i="2"/>
  <c r="M13" i="2"/>
  <c r="H13" i="2"/>
  <c r="F13" i="2"/>
  <c r="S13" i="2" l="1"/>
  <c r="S19" i="2"/>
  <c r="J42" i="2"/>
  <c r="J37" i="2"/>
  <c r="S40" i="2"/>
  <c r="S44" i="2"/>
  <c r="S32" i="2"/>
  <c r="J52" i="2"/>
  <c r="J13" i="2"/>
  <c r="S37" i="2"/>
  <c r="J58" i="2"/>
  <c r="S16" i="2"/>
  <c r="J32" i="2"/>
  <c r="J35" i="2"/>
  <c r="S48" i="2"/>
  <c r="S52" i="2"/>
  <c r="S58" i="2"/>
  <c r="S63" i="2"/>
  <c r="J19" i="2"/>
  <c r="J25" i="2"/>
  <c r="J40" i="2"/>
  <c r="S22" i="2"/>
  <c r="S27" i="2"/>
  <c r="S42" i="2"/>
  <c r="S55" i="2"/>
  <c r="J61" i="2"/>
  <c r="J70" i="2"/>
  <c r="S25" i="2"/>
  <c r="S29" i="2"/>
  <c r="J44" i="2"/>
  <c r="J48" i="2"/>
  <c r="S66" i="2"/>
  <c r="J55" i="2"/>
  <c r="T88" i="1" l="1"/>
  <c r="S88" i="1"/>
  <c r="Q88" i="1"/>
  <c r="P88" i="1"/>
  <c r="N88" i="1"/>
  <c r="M88" i="1"/>
  <c r="T87" i="1"/>
  <c r="S87" i="1"/>
  <c r="Q87" i="1"/>
  <c r="P87" i="1"/>
  <c r="N87" i="1"/>
  <c r="M87" i="1"/>
  <c r="T86" i="1"/>
  <c r="S86" i="1"/>
  <c r="Q86" i="1"/>
  <c r="P86" i="1"/>
  <c r="N86" i="1"/>
  <c r="M86" i="1"/>
  <c r="T85" i="1"/>
  <c r="S85" i="1"/>
  <c r="Q85" i="1"/>
  <c r="P85" i="1"/>
  <c r="N85" i="1"/>
  <c r="M85" i="1"/>
  <c r="T84" i="1"/>
  <c r="S84" i="1"/>
  <c r="Q84" i="1"/>
  <c r="P84" i="1"/>
  <c r="N84" i="1"/>
  <c r="M84" i="1"/>
  <c r="T83" i="1"/>
  <c r="S83" i="1"/>
  <c r="Q83" i="1"/>
  <c r="P83" i="1"/>
  <c r="N83" i="1"/>
  <c r="M83" i="1"/>
  <c r="T82" i="1"/>
  <c r="S82" i="1"/>
  <c r="Q82" i="1"/>
  <c r="P82" i="1"/>
  <c r="N82" i="1"/>
  <c r="M82" i="1"/>
  <c r="T76" i="1"/>
  <c r="S76" i="1"/>
  <c r="Q76" i="1"/>
  <c r="P76" i="1"/>
  <c r="N76" i="1"/>
  <c r="M76" i="1"/>
  <c r="T75" i="1"/>
  <c r="S75" i="1"/>
  <c r="Q75" i="1"/>
  <c r="P75" i="1"/>
  <c r="N75" i="1"/>
  <c r="M75" i="1"/>
  <c r="T74" i="1"/>
  <c r="S74" i="1"/>
  <c r="P74" i="1"/>
  <c r="R74" i="1" s="1"/>
  <c r="N74" i="1"/>
  <c r="M74" i="1"/>
  <c r="T73" i="1"/>
  <c r="S73" i="1"/>
  <c r="Q73" i="1"/>
  <c r="P73" i="1"/>
  <c r="N73" i="1"/>
  <c r="M73" i="1"/>
  <c r="T72" i="1"/>
  <c r="S72" i="1"/>
  <c r="Q72" i="1"/>
  <c r="P72" i="1"/>
  <c r="N72" i="1"/>
  <c r="M72" i="1"/>
  <c r="T71" i="1"/>
  <c r="S71" i="1"/>
  <c r="Q71" i="1"/>
  <c r="P71" i="1"/>
  <c r="N71" i="1"/>
  <c r="M71" i="1"/>
  <c r="T70" i="1"/>
  <c r="S70" i="1"/>
  <c r="Q70" i="1"/>
  <c r="P70" i="1"/>
  <c r="N70" i="1"/>
  <c r="M70" i="1"/>
  <c r="T69" i="1"/>
  <c r="S69" i="1"/>
  <c r="Q69" i="1"/>
  <c r="P69" i="1"/>
  <c r="N69" i="1"/>
  <c r="M69" i="1"/>
  <c r="T68" i="1"/>
  <c r="S68" i="1"/>
  <c r="Q68" i="1"/>
  <c r="P68" i="1"/>
  <c r="N68" i="1"/>
  <c r="M68" i="1"/>
  <c r="T62" i="1"/>
  <c r="S62" i="1"/>
  <c r="Q62" i="1"/>
  <c r="P62" i="1"/>
  <c r="N62" i="1"/>
  <c r="M62" i="1"/>
  <c r="T61" i="1"/>
  <c r="S61" i="1"/>
  <c r="Q61" i="1"/>
  <c r="P61" i="1"/>
  <c r="N61" i="1"/>
  <c r="M61" i="1"/>
  <c r="T60" i="1"/>
  <c r="S60" i="1"/>
  <c r="Q60" i="1"/>
  <c r="P60" i="1"/>
  <c r="N60" i="1"/>
  <c r="M60" i="1"/>
  <c r="T59" i="1"/>
  <c r="S59" i="1"/>
  <c r="Q59" i="1"/>
  <c r="P59" i="1"/>
  <c r="N59" i="1"/>
  <c r="M59" i="1"/>
  <c r="T58" i="1"/>
  <c r="S58" i="1"/>
  <c r="Q58" i="1"/>
  <c r="P58" i="1"/>
  <c r="N58" i="1"/>
  <c r="M58" i="1"/>
  <c r="T57" i="1"/>
  <c r="S57" i="1"/>
  <c r="P57" i="1"/>
  <c r="R57" i="1" s="1"/>
  <c r="N57" i="1"/>
  <c r="M57" i="1"/>
  <c r="T56" i="1"/>
  <c r="S56" i="1"/>
  <c r="Q56" i="1"/>
  <c r="P56" i="1"/>
  <c r="N56" i="1"/>
  <c r="M56" i="1"/>
  <c r="T55" i="1"/>
  <c r="S55" i="1"/>
  <c r="Q55" i="1"/>
  <c r="P55" i="1"/>
  <c r="N55" i="1"/>
  <c r="M55" i="1"/>
  <c r="T54" i="1"/>
  <c r="S54" i="1"/>
  <c r="Q54" i="1"/>
  <c r="P54" i="1"/>
  <c r="N54" i="1"/>
  <c r="M54" i="1"/>
  <c r="T53" i="1"/>
  <c r="S53" i="1"/>
  <c r="Q53" i="1"/>
  <c r="P53" i="1"/>
  <c r="N53" i="1"/>
  <c r="M53" i="1"/>
  <c r="T52" i="1"/>
  <c r="S52" i="1"/>
  <c r="Q52" i="1"/>
  <c r="P52" i="1"/>
  <c r="N52" i="1"/>
  <c r="M52" i="1"/>
  <c r="T51" i="1"/>
  <c r="S51" i="1"/>
  <c r="Q51" i="1"/>
  <c r="P51" i="1"/>
  <c r="N51" i="1"/>
  <c r="M51" i="1"/>
  <c r="T50" i="1"/>
  <c r="S50" i="1"/>
  <c r="Q50" i="1"/>
  <c r="P50" i="1"/>
  <c r="N50" i="1"/>
  <c r="M50" i="1"/>
  <c r="T49" i="1"/>
  <c r="S49" i="1"/>
  <c r="Q49" i="1"/>
  <c r="P49" i="1"/>
  <c r="N49" i="1"/>
  <c r="M49" i="1"/>
  <c r="T42" i="1"/>
  <c r="S42" i="1"/>
  <c r="Q42" i="1"/>
  <c r="P42" i="1"/>
  <c r="N42" i="1"/>
  <c r="M42" i="1"/>
  <c r="T41" i="1"/>
  <c r="S41" i="1"/>
  <c r="Q41" i="1"/>
  <c r="P41" i="1"/>
  <c r="N41" i="1"/>
  <c r="M41" i="1"/>
  <c r="T40" i="1"/>
  <c r="S40" i="1"/>
  <c r="Q40" i="1"/>
  <c r="P40" i="1"/>
  <c r="N40" i="1"/>
  <c r="M40" i="1"/>
  <c r="T39" i="1"/>
  <c r="S39" i="1"/>
  <c r="Q39" i="1"/>
  <c r="P39" i="1"/>
  <c r="N39" i="1"/>
  <c r="M39" i="1"/>
  <c r="T38" i="1"/>
  <c r="S38" i="1"/>
  <c r="Q38" i="1"/>
  <c r="P38" i="1"/>
  <c r="N38" i="1"/>
  <c r="M38" i="1"/>
  <c r="T37" i="1"/>
  <c r="S37" i="1"/>
  <c r="Q37" i="1"/>
  <c r="P37" i="1"/>
  <c r="N37" i="1"/>
  <c r="M37" i="1"/>
  <c r="T36" i="1"/>
  <c r="S36" i="1"/>
  <c r="Q36" i="1"/>
  <c r="P36" i="1"/>
  <c r="N36" i="1"/>
  <c r="M36" i="1"/>
  <c r="T35" i="1"/>
  <c r="S35" i="1"/>
  <c r="Q35" i="1"/>
  <c r="P35" i="1"/>
  <c r="N35" i="1"/>
  <c r="W35" i="1" s="1"/>
  <c r="M35" i="1"/>
  <c r="T34" i="1"/>
  <c r="S34" i="1"/>
  <c r="Q34" i="1"/>
  <c r="P34" i="1"/>
  <c r="N34" i="1"/>
  <c r="M34" i="1"/>
  <c r="T33" i="1"/>
  <c r="S33" i="1"/>
  <c r="Q33" i="1"/>
  <c r="P33" i="1"/>
  <c r="N33" i="1"/>
  <c r="M33" i="1"/>
  <c r="T32" i="1"/>
  <c r="S32" i="1"/>
  <c r="Q32" i="1"/>
  <c r="P32" i="1"/>
  <c r="N32" i="1"/>
  <c r="M32" i="1"/>
  <c r="T31" i="1"/>
  <c r="S31" i="1"/>
  <c r="Q31" i="1"/>
  <c r="P31" i="1"/>
  <c r="N31" i="1"/>
  <c r="M31" i="1"/>
  <c r="T30" i="1"/>
  <c r="S30" i="1"/>
  <c r="Q30" i="1"/>
  <c r="P30" i="1"/>
  <c r="N30" i="1"/>
  <c r="M30" i="1"/>
  <c r="T29" i="1"/>
  <c r="S29" i="1"/>
  <c r="Q29" i="1"/>
  <c r="P29" i="1"/>
  <c r="N29" i="1"/>
  <c r="M29" i="1"/>
  <c r="T28" i="1"/>
  <c r="S28" i="1"/>
  <c r="Q28" i="1"/>
  <c r="P28" i="1"/>
  <c r="N28" i="1"/>
  <c r="M28" i="1"/>
  <c r="S20" i="1"/>
  <c r="Q20" i="1"/>
  <c r="P20" i="1"/>
  <c r="N20" i="1"/>
  <c r="M20" i="1"/>
  <c r="T19" i="1"/>
  <c r="S19" i="1"/>
  <c r="Q19" i="1"/>
  <c r="P19" i="1"/>
  <c r="N19" i="1"/>
  <c r="M19" i="1"/>
  <c r="S18" i="1"/>
  <c r="U18" i="1" s="1"/>
  <c r="Q18" i="1"/>
  <c r="P18" i="1"/>
  <c r="N18" i="1"/>
  <c r="M18" i="1"/>
  <c r="T17" i="1"/>
  <c r="S17" i="1"/>
  <c r="Q17" i="1"/>
  <c r="P17" i="1"/>
  <c r="N17" i="1"/>
  <c r="M17" i="1"/>
  <c r="T16" i="1"/>
  <c r="S16" i="1"/>
  <c r="Q16" i="1"/>
  <c r="P16" i="1"/>
  <c r="N16" i="1"/>
  <c r="M16" i="1"/>
  <c r="T15" i="1"/>
  <c r="S15" i="1"/>
  <c r="Q15" i="1"/>
  <c r="P15" i="1"/>
  <c r="N15" i="1"/>
  <c r="M15" i="1"/>
  <c r="T14" i="1"/>
  <c r="S14" i="1"/>
  <c r="Q14" i="1"/>
  <c r="P14" i="1"/>
  <c r="N14" i="1"/>
  <c r="M14" i="1"/>
  <c r="T13" i="1"/>
  <c r="S13" i="1"/>
  <c r="Q13" i="1"/>
  <c r="P13" i="1"/>
  <c r="N13" i="1"/>
  <c r="M13" i="1"/>
  <c r="V35" i="1" l="1"/>
  <c r="X35" i="1"/>
  <c r="O85" i="1"/>
  <c r="R86" i="1"/>
  <c r="U87" i="1"/>
  <c r="R75" i="1"/>
  <c r="O83" i="1"/>
  <c r="U84" i="1"/>
  <c r="O86" i="1"/>
  <c r="R87" i="1"/>
  <c r="U14" i="1"/>
  <c r="O30" i="1"/>
  <c r="O15" i="1"/>
  <c r="R16" i="1"/>
  <c r="O29" i="1"/>
  <c r="R30" i="1"/>
  <c r="O37" i="1"/>
  <c r="R52" i="1"/>
  <c r="R17" i="1"/>
  <c r="U32" i="1"/>
  <c r="O60" i="1"/>
  <c r="R61" i="1"/>
  <c r="U62" i="1"/>
  <c r="U71" i="1"/>
  <c r="O73" i="1"/>
  <c r="O72" i="1"/>
  <c r="O84" i="1"/>
  <c r="U41" i="1"/>
  <c r="R58" i="1"/>
  <c r="U59" i="1"/>
  <c r="U39" i="1"/>
  <c r="U57" i="1"/>
  <c r="R55" i="1"/>
  <c r="R76" i="1"/>
  <c r="U15" i="1"/>
  <c r="O31" i="1"/>
  <c r="U55" i="1"/>
  <c r="R39" i="1"/>
  <c r="U54" i="1"/>
  <c r="O56" i="1"/>
  <c r="R50" i="1"/>
  <c r="R72" i="1"/>
  <c r="U73" i="1"/>
  <c r="N63" i="1"/>
  <c r="R38" i="1"/>
  <c r="U50" i="1"/>
  <c r="O14" i="1"/>
  <c r="O18" i="1"/>
  <c r="M43" i="1"/>
  <c r="R34" i="1"/>
  <c r="O51" i="1"/>
  <c r="U53" i="1"/>
  <c r="U75" i="1"/>
  <c r="N21" i="1"/>
  <c r="U33" i="1"/>
  <c r="O35" i="1"/>
  <c r="O50" i="1"/>
  <c r="R51" i="1"/>
  <c r="N77" i="1"/>
  <c r="R69" i="1"/>
  <c r="U82" i="1"/>
  <c r="S89" i="1"/>
  <c r="U19" i="1"/>
  <c r="N43" i="1"/>
  <c r="U30" i="1"/>
  <c r="U34" i="1"/>
  <c r="P63" i="1"/>
  <c r="O55" i="1"/>
  <c r="U58" i="1"/>
  <c r="R70" i="1"/>
  <c r="M21" i="1"/>
  <c r="P43" i="1"/>
  <c r="U29" i="1"/>
  <c r="R32" i="1"/>
  <c r="R37" i="1"/>
  <c r="O41" i="1"/>
  <c r="R42" i="1"/>
  <c r="R49" i="1"/>
  <c r="Q63" i="1"/>
  <c r="U52" i="1"/>
  <c r="V54" i="1"/>
  <c r="O59" i="1"/>
  <c r="R60" i="1"/>
  <c r="U61" i="1"/>
  <c r="O68" i="1"/>
  <c r="M77" i="1"/>
  <c r="U70" i="1"/>
  <c r="U76" i="1"/>
  <c r="R85" i="1"/>
  <c r="U86" i="1"/>
  <c r="O88" i="1"/>
  <c r="Q43" i="1"/>
  <c r="S63" i="1"/>
  <c r="P21" i="1"/>
  <c r="R31" i="1"/>
  <c r="R36" i="1"/>
  <c r="U37" i="1"/>
  <c r="O40" i="1"/>
  <c r="R41" i="1"/>
  <c r="U42" i="1"/>
  <c r="T63" i="1"/>
  <c r="O53" i="1"/>
  <c r="R54" i="1"/>
  <c r="R59" i="1"/>
  <c r="R68" i="1"/>
  <c r="P77" i="1"/>
  <c r="U69" i="1"/>
  <c r="U74" i="1"/>
  <c r="O82" i="1"/>
  <c r="M89" i="1"/>
  <c r="U85" i="1"/>
  <c r="O87" i="1"/>
  <c r="W20" i="1"/>
  <c r="U28" i="1"/>
  <c r="S43" i="1"/>
  <c r="R13" i="1"/>
  <c r="Q21" i="1"/>
  <c r="O16" i="1"/>
  <c r="R20" i="1"/>
  <c r="O39" i="1"/>
  <c r="U49" i="1"/>
  <c r="V52" i="1"/>
  <c r="Q77" i="1"/>
  <c r="R83" i="1"/>
  <c r="W18" i="1"/>
  <c r="R53" i="1"/>
  <c r="W76" i="1"/>
  <c r="S21" i="1"/>
  <c r="S77" i="1"/>
  <c r="R82" i="1"/>
  <c r="P89" i="1"/>
  <c r="U13" i="1"/>
  <c r="T21" i="1"/>
  <c r="O33" i="1"/>
  <c r="M63" i="1"/>
  <c r="O57" i="1"/>
  <c r="R62" i="1"/>
  <c r="R71" i="1"/>
  <c r="U72" i="1"/>
  <c r="Q89" i="1"/>
  <c r="U83" i="1"/>
  <c r="U88" i="1"/>
  <c r="V49" i="1"/>
  <c r="W52" i="1"/>
  <c r="X52" i="1" s="1"/>
  <c r="V28" i="1"/>
  <c r="U35" i="1"/>
  <c r="W49" i="1"/>
  <c r="O13" i="1"/>
  <c r="R15" i="1"/>
  <c r="W28" i="1"/>
  <c r="O38" i="1"/>
  <c r="O49" i="1"/>
  <c r="W57" i="1"/>
  <c r="U60" i="1"/>
  <c r="U68" i="1"/>
  <c r="R18" i="1"/>
  <c r="U20" i="1"/>
  <c r="R33" i="1"/>
  <c r="O52" i="1"/>
  <c r="W13" i="1"/>
  <c r="R14" i="1"/>
  <c r="U17" i="1"/>
  <c r="O20" i="1"/>
  <c r="R28" i="1"/>
  <c r="R29" i="1"/>
  <c r="U31" i="1"/>
  <c r="R40" i="1"/>
  <c r="R56" i="1"/>
  <c r="V72" i="1"/>
  <c r="O74" i="1"/>
  <c r="O75" i="1"/>
  <c r="O76" i="1"/>
  <c r="W82" i="1"/>
  <c r="U16" i="1"/>
  <c r="O19" i="1"/>
  <c r="O34" i="1"/>
  <c r="U56" i="1"/>
  <c r="V60" i="1"/>
  <c r="O62" i="1"/>
  <c r="V68" i="1"/>
  <c r="O70" i="1"/>
  <c r="O71" i="1"/>
  <c r="W72" i="1"/>
  <c r="R88" i="1"/>
  <c r="W60" i="1"/>
  <c r="X60" i="1" s="1"/>
  <c r="W68" i="1"/>
  <c r="V84" i="1"/>
  <c r="W84" i="1"/>
  <c r="O17" i="1"/>
  <c r="R19" i="1"/>
  <c r="O32" i="1"/>
  <c r="W33" i="1"/>
  <c r="R35" i="1"/>
  <c r="U38" i="1"/>
  <c r="U40" i="1"/>
  <c r="U51" i="1"/>
  <c r="V57" i="1"/>
  <c r="O61" i="1"/>
  <c r="R73" i="1"/>
  <c r="U36" i="1"/>
  <c r="W54" i="1"/>
  <c r="X54" i="1" s="1"/>
  <c r="V33" i="1"/>
  <c r="O54" i="1"/>
  <c r="V20" i="1"/>
  <c r="O28" i="1"/>
  <c r="O69" i="1"/>
  <c r="V82" i="1"/>
  <c r="O36" i="1"/>
  <c r="O58" i="1"/>
  <c r="V76" i="1"/>
  <c r="R84" i="1"/>
  <c r="O42" i="1"/>
  <c r="V13" i="1"/>
  <c r="V18" i="1"/>
  <c r="X68" i="1" l="1"/>
  <c r="X57" i="1"/>
  <c r="X20" i="1"/>
  <c r="X13" i="1"/>
  <c r="X72" i="1"/>
  <c r="X76" i="1"/>
  <c r="X82" i="1"/>
  <c r="X18" i="1"/>
  <c r="X84" i="1"/>
  <c r="W21" i="1"/>
  <c r="W77" i="1"/>
  <c r="W89" i="1"/>
  <c r="V63" i="1"/>
  <c r="W43" i="1"/>
  <c r="X28" i="1"/>
  <c r="W63" i="1"/>
  <c r="X33" i="1"/>
  <c r="V89" i="1"/>
  <c r="V43" i="1"/>
  <c r="V21" i="1"/>
  <c r="V77" i="1"/>
  <c r="X77" i="1" l="1"/>
  <c r="X21" i="1"/>
  <c r="X63" i="1"/>
  <c r="X43" i="1"/>
  <c r="X89" i="1"/>
  <c r="X92" i="1" l="1"/>
</calcChain>
</file>

<file path=xl/comments1.xml><?xml version="1.0" encoding="utf-8"?>
<comments xmlns="http://schemas.openxmlformats.org/spreadsheetml/2006/main">
  <authors>
    <author>Lina Cardona</author>
  </authors>
  <commentList>
    <comment ref="C9" authorId="0" shapeId="0">
      <text>
        <r>
          <rPr>
            <b/>
            <sz val="11"/>
            <color indexed="81"/>
            <rFont val="Arial"/>
            <family val="2"/>
          </rPr>
          <t>Es el por qué podría llegar a materializarse el riesgo</t>
        </r>
      </text>
    </comment>
    <comment ref="D9" authorId="0" shapeId="0">
      <text>
        <r>
          <rPr>
            <b/>
            <sz val="11"/>
            <color indexed="81"/>
            <rFont val="Arial"/>
            <family val="2"/>
          </rPr>
          <t>Situación que puede llegar a afectar el logro de los objetivos de la entidad</t>
        </r>
      </text>
    </comment>
    <comment ref="E9" authorId="0" shapeId="0">
      <text>
        <r>
          <rPr>
            <b/>
            <sz val="11"/>
            <color indexed="81"/>
            <rFont val="Arial"/>
            <family val="2"/>
          </rPr>
          <t>Qué le pasaría a la entidad si el riesgo se llega a materializar?</t>
        </r>
      </text>
    </comment>
    <comment ref="U9" authorId="0" shapeId="0">
      <text>
        <r>
          <rPr>
            <b/>
            <sz val="11"/>
            <color indexed="81"/>
            <rFont val="Arial"/>
            <family val="2"/>
          </rPr>
          <t>Preventivas o Correctivas</t>
        </r>
        <r>
          <rPr>
            <b/>
            <sz val="9"/>
            <color indexed="81"/>
            <rFont val="Tahoma"/>
            <family val="2"/>
          </rPr>
          <t xml:space="preserve">
</t>
        </r>
      </text>
    </comment>
    <comment ref="X9" authorId="0" shapeId="0">
      <text>
        <r>
          <rPr>
            <b/>
            <sz val="11"/>
            <color indexed="81"/>
            <rFont val="Arial"/>
            <family val="2"/>
          </rPr>
          <t>Escriba fórmula del indicador</t>
        </r>
      </text>
    </comment>
  </commentList>
</comments>
</file>

<file path=xl/comments2.xml><?xml version="1.0" encoding="utf-8"?>
<comments xmlns="http://schemas.openxmlformats.org/spreadsheetml/2006/main">
  <authors>
    <author>Planeacion</author>
  </authors>
  <commentList>
    <comment ref="K1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K2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K47"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K6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K80"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List>
</comments>
</file>

<file path=xl/sharedStrings.xml><?xml version="1.0" encoding="utf-8"?>
<sst xmlns="http://schemas.openxmlformats.org/spreadsheetml/2006/main" count="958" uniqueCount="466">
  <si>
    <t>PLAN ANTICORRUPCIÓN Y DE ATENCIÓN AL CIUDADANO</t>
  </si>
  <si>
    <t>PLANEACIÓN ESTRATÉGICA</t>
  </si>
  <si>
    <t>PES-FT-001</t>
  </si>
  <si>
    <t>Versión</t>
  </si>
  <si>
    <t>Página No.</t>
  </si>
  <si>
    <t>República de Colombia</t>
  </si>
  <si>
    <t>1 de 1</t>
  </si>
  <si>
    <t>DEPENDENCIA :</t>
  </si>
  <si>
    <t>DEFENSA CIVIL COLOMBIANA</t>
  </si>
  <si>
    <t>FECHA DE FORMULACIÓN :</t>
  </si>
  <si>
    <t>20 DE ENERO DE 2020</t>
  </si>
  <si>
    <t>OBJETIVO ESTRATÉGICO 5:</t>
  </si>
  <si>
    <t>Implementar un programa de mejora continua de la gestión y desempeño institucional.</t>
  </si>
  <si>
    <t xml:space="preserve">Componente 1: </t>
  </si>
  <si>
    <t>GESTIÓN DEL RIESGO DE CORRUPCIÓN - MAPAS DE RIESGOS DE CORRUPCIÓN</t>
  </si>
  <si>
    <t>METAS</t>
  </si>
  <si>
    <t>RESPONSABLE</t>
  </si>
  <si>
    <t>PLAZO</t>
  </si>
  <si>
    <t>ACTIVIDADES</t>
  </si>
  <si>
    <t>Ponderación de cada actividad</t>
  </si>
  <si>
    <t>PLAZO DE CADA ACTIVIDAD</t>
  </si>
  <si>
    <t>RECURSOS $
NECESARIOS</t>
  </si>
  <si>
    <t>INDICADOR DE CUMPLIMIENTO</t>
  </si>
  <si>
    <t>SEGUIMIENTO PAAC  - II CUATRIMESTRE DE 2020</t>
  </si>
  <si>
    <t>DE CADA META</t>
  </si>
  <si>
    <t>META</t>
  </si>
  <si>
    <t>PROGRAMADAS POR CADA META</t>
  </si>
  <si>
    <t>DE CADA ACTIVIDAD</t>
  </si>
  <si>
    <t>I 
TRIM</t>
  </si>
  <si>
    <t>II TRIM</t>
  </si>
  <si>
    <t>III TRIM</t>
  </si>
  <si>
    <t>IV TRIM</t>
  </si>
  <si>
    <t>PARA EJECUTAR LA META</t>
  </si>
  <si>
    <t xml:space="preserve"> % ACTIVIDADES PLANEADAS 
I Cuatrimestre 2020</t>
  </si>
  <si>
    <t xml:space="preserve"> % ACTIVIDADES EJECUTADAS 
 I Cuatrimestre 2020</t>
  </si>
  <si>
    <t>% CUMPLIMIENTO ACTIVIDADES 1ER CUATRIMESTRE</t>
  </si>
  <si>
    <t xml:space="preserve"> % ACTIVIDADES PLANEADAS 
II Cuatrimestre 2020</t>
  </si>
  <si>
    <t xml:space="preserve"> % ACTIVIDADES EJECUTADAS 
 II Cuatrimestre 2020</t>
  </si>
  <si>
    <t>% CUMPLIMIENTO ACTIVIDADES 3ER CUATRIMESTRE</t>
  </si>
  <si>
    <t xml:space="preserve"> % ACTIVIDADES PLANEADAS 
III Cuatrimestre 2020</t>
  </si>
  <si>
    <t xml:space="preserve"> % ACTIVIDADES EJECUTADAS 
 III Cuatrimestre 2020</t>
  </si>
  <si>
    <t>% ACTIVIDADES PLANEADAS AÑO 2020 PLANEACION</t>
  </si>
  <si>
    <t>% ACTIVIDADES EJECUTADAS AÑO 2020 (OCI)</t>
  </si>
  <si>
    <t xml:space="preserve">% AVANCE </t>
  </si>
  <si>
    <t>EVALUACIÓN OCI 2DO CUATRIMESTRE</t>
  </si>
  <si>
    <r>
      <rPr>
        <b/>
        <sz val="10"/>
        <color rgb="FFFF0000"/>
        <rFont val="Arial"/>
        <family val="2"/>
      </rPr>
      <t>PAAC-1-M1 -</t>
    </r>
    <r>
      <rPr>
        <b/>
        <sz val="10"/>
        <rFont val="Arial"/>
        <family val="2"/>
      </rPr>
      <t xml:space="preserve"> </t>
    </r>
    <r>
      <rPr>
        <sz val="10"/>
        <rFont val="Arial"/>
        <family val="2"/>
      </rPr>
      <t>Actualizar los riesgos de corrupción de 12 procesos de gestión</t>
    </r>
  </si>
  <si>
    <t>Jefe Oficina Asesora de Planeación</t>
  </si>
  <si>
    <r>
      <rPr>
        <b/>
        <sz val="10"/>
        <color rgb="FFFF0000"/>
        <rFont val="Arial"/>
        <family val="2"/>
      </rPr>
      <t>PAAC-1-M1-A1 -</t>
    </r>
    <r>
      <rPr>
        <sz val="10"/>
        <rFont val="Arial"/>
        <family val="2"/>
      </rPr>
      <t xml:space="preserve"> Realizar convocatoria a mesas de trabajo.</t>
    </r>
  </si>
  <si>
    <t>X</t>
  </si>
  <si>
    <t>No. actividades realizadas / No. actividades programadas</t>
  </si>
  <si>
    <t>La actividad se debe realizar en el primer cuatrimestre del periodo (enero a abril)</t>
  </si>
  <si>
    <r>
      <rPr>
        <b/>
        <sz val="10"/>
        <color rgb="FFFF0000"/>
        <rFont val="Arial"/>
        <family val="2"/>
      </rPr>
      <t xml:space="preserve">PAAC-1-M1-A2 - </t>
    </r>
    <r>
      <rPr>
        <sz val="10"/>
        <rFont val="Arial"/>
        <family val="2"/>
      </rPr>
      <t>Identificar, valorar y evaluar los riesgos con los dueños de los procesos</t>
    </r>
  </si>
  <si>
    <t>Jefe Oficina Asesora de Planeación
Dueños de los procesos</t>
  </si>
  <si>
    <r>
      <rPr>
        <b/>
        <sz val="10"/>
        <color rgb="FFFF0000"/>
        <rFont val="Arial"/>
        <family val="2"/>
      </rPr>
      <t xml:space="preserve">PAAC-1-M1-A3 - </t>
    </r>
    <r>
      <rPr>
        <sz val="10"/>
        <rFont val="Arial"/>
        <family val="2"/>
      </rPr>
      <t>Consolidar la Matriz de Riesgos de Corrupción</t>
    </r>
  </si>
  <si>
    <r>
      <rPr>
        <b/>
        <sz val="10"/>
        <color rgb="FFFF0000"/>
        <rFont val="Arial"/>
        <family val="2"/>
      </rPr>
      <t>PAAC-1-M1-A4 -</t>
    </r>
    <r>
      <rPr>
        <sz val="10"/>
        <rFont val="Arial"/>
        <family val="2"/>
      </rPr>
      <t xml:space="preserve"> Divulgar los riesgos de corrupción a través de la página WEB</t>
    </r>
  </si>
  <si>
    <r>
      <rPr>
        <b/>
        <sz val="10"/>
        <color rgb="FFFF0000"/>
        <rFont val="Arial"/>
        <family val="2"/>
      </rPr>
      <t xml:space="preserve">PAAC-1-M1-A5 - </t>
    </r>
    <r>
      <rPr>
        <sz val="10"/>
        <rFont val="Arial"/>
        <family val="2"/>
      </rPr>
      <t>Incluir el mapa de riesgos de corrupción en el sistema de información.</t>
    </r>
  </si>
  <si>
    <t>Auxiliar de servicios Oficina Asesora de Planeación</t>
  </si>
  <si>
    <t>La OCI evidenció que esta actividad se realizo en el periodo correspondiente</t>
  </si>
  <si>
    <r>
      <rPr>
        <b/>
        <sz val="10"/>
        <color rgb="FFFF0000"/>
        <rFont val="Arial"/>
        <family val="2"/>
      </rPr>
      <t>PAAC-1-M2 -</t>
    </r>
    <r>
      <rPr>
        <sz val="10"/>
        <rFont val="Arial"/>
        <family val="2"/>
      </rPr>
      <t xml:space="preserve"> Realizar el monitoreo y revisión de los riesgos de corrupción</t>
    </r>
  </si>
  <si>
    <t>Jefe Oficina Asesora de Planeación
Dueños de los procesos</t>
  </si>
  <si>
    <r>
      <rPr>
        <b/>
        <sz val="10"/>
        <color rgb="FFFF0000"/>
        <rFont val="Arial"/>
        <family val="2"/>
      </rPr>
      <t xml:space="preserve">PAAC-1-M2-A1 - </t>
    </r>
    <r>
      <rPr>
        <sz val="10"/>
        <rFont val="Arial"/>
        <family val="2"/>
      </rPr>
      <t>Hacer seguimiento a la medición cuatrimestral de los indicadores de los riesgos de corrupción en el sistema de información.</t>
    </r>
  </si>
  <si>
    <t>Técnico para apoyo Oficina Asesora de Planeación</t>
  </si>
  <si>
    <t>La OCI evidenció que la Oficina Asesora de Planeación realizó seguimiento a la medición cuatrimestral (enero a abril),  en el cual hay adjunto un soporte sobre este seguimiento que se realiza.</t>
  </si>
  <si>
    <r>
      <rPr>
        <b/>
        <sz val="10"/>
        <color rgb="FFFF0000"/>
        <rFont val="Arial"/>
        <family val="2"/>
      </rPr>
      <t>PAAC-1-M2-A2 -</t>
    </r>
    <r>
      <rPr>
        <sz val="10"/>
        <rFont val="Arial"/>
        <family val="2"/>
      </rPr>
      <t xml:space="preserve"> Realizar las mesas de trabajo para la  revisión de los riesgos identificados con el fin de determinar la necesidad de modificar, actualizar o mantener en las mismas condiciones los factores de riesgo, así como su identificación, análisis y valoración</t>
    </r>
  </si>
  <si>
    <t xml:space="preserve"> </t>
  </si>
  <si>
    <r>
      <rPr>
        <b/>
        <sz val="10"/>
        <color rgb="FFFF0000"/>
        <rFont val="Arial"/>
        <family val="2"/>
      </rPr>
      <t xml:space="preserve">PAAC-1-M3 - </t>
    </r>
    <r>
      <rPr>
        <sz val="10"/>
        <rFont val="Arial"/>
        <family val="2"/>
      </rPr>
      <t xml:space="preserve">Realizar tres seguimientos de los  riesgos de corrupción </t>
    </r>
  </si>
  <si>
    <t>Jefe Oficina de Control Interno</t>
  </si>
  <si>
    <r>
      <rPr>
        <b/>
        <sz val="10"/>
        <color rgb="FFFF0000"/>
        <rFont val="Arial"/>
        <family val="2"/>
      </rPr>
      <t xml:space="preserve">PAAC-1-M3-A1 </t>
    </r>
    <r>
      <rPr>
        <sz val="10"/>
        <rFont val="Arial"/>
        <family val="2"/>
      </rPr>
      <t>- Realizar la publicación del informe de cada seguimiento realizado a los  riesgos de corrupción</t>
    </r>
  </si>
  <si>
    <t>No. seguimientos  realizados / No. seguimientos programados</t>
  </si>
  <si>
    <t>Se hace la publicacion en la pagina de la DCC del informe de la OCI</t>
  </si>
  <si>
    <t>TOTALES</t>
  </si>
  <si>
    <t>Componente 2:</t>
  </si>
  <si>
    <t>RACIONALIZACIÓN DE TRAMITES (Ver hoja siguiente)</t>
  </si>
  <si>
    <t>Componente 3:</t>
  </si>
  <si>
    <t>ESTRATEGIA DE RENDICIÓN DE CUENTAS</t>
  </si>
  <si>
    <t>I TRIM</t>
  </si>
  <si>
    <t>% CUMPLIMIENTO ACTIVIDADES</t>
  </si>
  <si>
    <t>% ACTIVIDADES PLANEADAS AÑO 2020</t>
  </si>
  <si>
    <t>% ACTIVIDADES EJECUTADAS AÑO 2020</t>
  </si>
  <si>
    <r>
      <rPr>
        <b/>
        <sz val="10"/>
        <color rgb="FFFF0000"/>
        <rFont val="Arial"/>
        <family val="2"/>
      </rPr>
      <t xml:space="preserve">PAAC-3-M1 - </t>
    </r>
    <r>
      <rPr>
        <sz val="10"/>
        <rFont val="Arial"/>
        <family val="2"/>
      </rPr>
      <t>Fortalecer la fase de información de la Rendición de cuentas a la ciudadanía.</t>
    </r>
  </si>
  <si>
    <r>
      <rPr>
        <b/>
        <sz val="10"/>
        <color rgb="FFFF0000"/>
        <rFont val="Arial"/>
        <family val="2"/>
      </rPr>
      <t xml:space="preserve">PAAC-3-M1-A1 - </t>
    </r>
    <r>
      <rPr>
        <sz val="10"/>
        <rFont val="Arial"/>
        <family val="2"/>
      </rPr>
      <t>Realizar seguimiento trimestralmente en la página web de la entidad, verificando la información correspondiente a la gestión administrativa y misional de la entidad (Gestión presupuestal, proyectos vigentes, Atención de emergencias, actividades de Acción Social, actividades de Gestión Ambiental, contratación).</t>
    </r>
  </si>
  <si>
    <t>Técnico para Apoyo de Seguridad y Defensa OAP</t>
  </si>
  <si>
    <t xml:space="preserve">La OCI evidenció que se realizó revisión trimestral del contenido de la página web y se envió reporte con observaciones y sugerencias a los responsables de cada espacio, para su conocimiento, el día 30 de junio de 2020. </t>
  </si>
  <si>
    <r>
      <rPr>
        <b/>
        <sz val="10"/>
        <color rgb="FFFF0000"/>
        <rFont val="Arial"/>
        <family val="2"/>
      </rPr>
      <t>PAAC-3-M1-A2 -</t>
    </r>
    <r>
      <rPr>
        <sz val="10"/>
        <rFont val="Arial"/>
        <family val="2"/>
      </rPr>
      <t xml:space="preserve"> Actualizar la caracterización de usuarios y grupos de interés de la entidad.</t>
    </r>
  </si>
  <si>
    <t>La OCI evidenció se ejecuto acorde a lo solicitado en el periodo 2 2do cuatrimestre</t>
  </si>
  <si>
    <r>
      <rPr>
        <b/>
        <sz val="10"/>
        <color rgb="FFFF0000"/>
        <rFont val="Arial"/>
        <family val="2"/>
      </rPr>
      <t>PAAC-3-M1-A3 -</t>
    </r>
    <r>
      <rPr>
        <sz val="10"/>
        <rFont val="Arial"/>
        <family val="2"/>
      </rPr>
      <t xml:space="preserve"> Publicar en la cartelera de cara al ciudadano, la información de la gestión de la entidad.</t>
    </r>
  </si>
  <si>
    <r>
      <rPr>
        <b/>
        <sz val="10"/>
        <color rgb="FFFF0000"/>
        <rFont val="Arial"/>
        <family val="2"/>
      </rPr>
      <t xml:space="preserve">PAAC-3-M1-A4 - </t>
    </r>
    <r>
      <rPr>
        <sz val="10"/>
        <rFont val="Arial"/>
        <family val="2"/>
      </rPr>
      <t>Publicar una encuesta web sobre los temas que la ciudadanía desea incluir en el ejercicio de Rendición de Cuentas a la Ciudadanía.</t>
    </r>
  </si>
  <si>
    <r>
      <rPr>
        <b/>
        <sz val="10"/>
        <color rgb="FFFF0000"/>
        <rFont val="Arial"/>
        <family val="2"/>
      </rPr>
      <t xml:space="preserve">PAAC-3-M1-A5 - </t>
    </r>
    <r>
      <rPr>
        <sz val="10"/>
        <rFont val="Arial"/>
        <family val="2"/>
      </rPr>
      <t>Incluir en el informe de gestión las metas y actividades formuladas en la planeación institucional con los derechos que se están garantizando a través de la gestión institucional.</t>
    </r>
  </si>
  <si>
    <t>La OCI evidenció que la actividad se ejecuto el 11 de mayo con el fin de dar por cumplido el PAAC</t>
  </si>
  <si>
    <r>
      <rPr>
        <b/>
        <sz val="10"/>
        <color rgb="FFFF0000"/>
        <rFont val="Arial"/>
        <family val="2"/>
      </rPr>
      <t>PAAC-3-M2 -</t>
    </r>
    <r>
      <rPr>
        <sz val="10"/>
        <rFont val="Arial"/>
        <family val="2"/>
      </rPr>
      <t xml:space="preserve"> Desarrollar las acciones necesarias para fortalecer la fase de dialogo de la Rendición de cuentas a la ciudadanía.</t>
    </r>
  </si>
  <si>
    <t>Jefe Oficina Asesora de Planeación
Directores Seccionales y Líderes de Oficinas de Defensa Civil</t>
  </si>
  <si>
    <r>
      <rPr>
        <b/>
        <sz val="10"/>
        <color rgb="FFFF0000"/>
        <rFont val="Arial"/>
        <family val="2"/>
      </rPr>
      <t>PAAC-3-M2-A1 -</t>
    </r>
    <r>
      <rPr>
        <sz val="10"/>
        <rFont val="Arial"/>
        <family val="2"/>
      </rPr>
      <t xml:space="preserve"> Desarrollar un World Café, como ejercicio de Rendición de Cuentas a la ciudadanía, en las Direcciones Seccionales y las Oficinas de los departamentos de Amazonas, Arauca, Putumayo y San Andrés y en la DIGER.</t>
    </r>
  </si>
  <si>
    <t>La OCI evidenció que la actividad es anual</t>
  </si>
  <si>
    <r>
      <rPr>
        <b/>
        <sz val="10"/>
        <color rgb="FFFF0000"/>
        <rFont val="Arial"/>
        <family val="2"/>
      </rPr>
      <t>PAAC-3-M2-A2 -</t>
    </r>
    <r>
      <rPr>
        <sz val="10"/>
        <rFont val="Arial"/>
        <family val="2"/>
      </rPr>
      <t xml:space="preserve"> Coordinar 5 encuentros ciudadanos convocados por el DNP y realizar la invitación a través de las redes sociales</t>
    </r>
  </si>
  <si>
    <t>Técnico para Apoyo de Seguridad y Defensa OAP
Seccionales</t>
  </si>
  <si>
    <t>La OCI evidenció que la actividad se suspendio por motivo de emergencia COVID 19</t>
  </si>
  <si>
    <r>
      <rPr>
        <b/>
        <sz val="10"/>
        <color rgb="FFFF0000"/>
        <rFont val="Arial"/>
        <family val="2"/>
      </rPr>
      <t xml:space="preserve">PAAC-3-M3 - </t>
    </r>
    <r>
      <rPr>
        <sz val="10"/>
        <rFont val="Arial"/>
        <family val="2"/>
      </rPr>
      <t>Desarrollar las acciones necesarias para fortalecer la fase de responsabilidad de la Rendición de cuentas a la ciudadanía.</t>
    </r>
  </si>
  <si>
    <r>
      <rPr>
        <b/>
        <sz val="10"/>
        <color rgb="FFFF0000"/>
        <rFont val="Arial"/>
        <family val="2"/>
      </rPr>
      <t xml:space="preserve">PAAC-3-M3-A1 - </t>
    </r>
    <r>
      <rPr>
        <sz val="10"/>
        <rFont val="Arial"/>
        <family val="2"/>
      </rPr>
      <t>Hacer seguimiento a los compromisos adquiridos en la Rendición de Cuentas a la Ciudadanía</t>
    </r>
  </si>
  <si>
    <t>La OCI evidenció que la actividad está para ejecutar anual</t>
  </si>
  <si>
    <r>
      <rPr>
        <b/>
        <sz val="10"/>
        <color rgb="FFFF0000"/>
        <rFont val="Arial"/>
        <family val="2"/>
      </rPr>
      <t>PAAC-3-M3-A2 -</t>
    </r>
    <r>
      <rPr>
        <sz val="10"/>
        <rFont val="Arial"/>
        <family val="2"/>
      </rPr>
      <t xml:space="preserve"> Elaborar y socializar la Directiva de Rendición de Cuentas a la Ciudadanía.</t>
    </r>
  </si>
  <si>
    <r>
      <rPr>
        <b/>
        <sz val="10"/>
        <color rgb="FFFF0000"/>
        <rFont val="Arial"/>
        <family val="2"/>
      </rPr>
      <t xml:space="preserve">PAAC-3-M3-A3 - </t>
    </r>
    <r>
      <rPr>
        <sz val="10"/>
        <rFont val="Arial"/>
        <family val="2"/>
      </rPr>
      <t>Publicar en la página web el informe consolidado de los ejercicios de Rendición de Cuentas a la Ciudadanía, donde se incluya el cumplimiento a los compromisos adquiridos en la vigencia anterior y las respuestas a las preguntas realizadas en el espacio de diálogo.</t>
    </r>
  </si>
  <si>
    <r>
      <rPr>
        <b/>
        <sz val="10"/>
        <color rgb="FFFF0000"/>
        <rFont val="Arial"/>
        <family val="2"/>
      </rPr>
      <t>PAAC-3-M3-A4 -</t>
    </r>
    <r>
      <rPr>
        <sz val="10"/>
        <rFont val="Arial"/>
        <family val="2"/>
      </rPr>
      <t xml:space="preserve"> Desarrollar una capacitación, dirigida a los servidores públicos de la DIGER, sobre mecanismos de rendición de cuentas con enfoque de derechos humanos y paz.</t>
    </r>
  </si>
  <si>
    <t>La OCI evidenció que la actividad se realizo el 11 de agosto de 2020, es decir en el 2 cuatrimestre del periodo</t>
  </si>
  <si>
    <r>
      <rPr>
        <b/>
        <sz val="10"/>
        <color rgb="FFFF0000"/>
        <rFont val="Arial"/>
        <family val="2"/>
      </rPr>
      <t>PAAC-3-M3-A5 -</t>
    </r>
    <r>
      <rPr>
        <sz val="10"/>
        <rFont val="Arial"/>
        <family val="2"/>
      </rPr>
      <t xml:space="preserve"> Consolidar los compromisos de los ejercicios de rendición de cuentas</t>
    </r>
  </si>
  <si>
    <r>
      <rPr>
        <b/>
        <sz val="10"/>
        <color rgb="FFFF0000"/>
        <rFont val="Arial"/>
        <family val="2"/>
      </rPr>
      <t>PAAC-3-M3-A6 -</t>
    </r>
    <r>
      <rPr>
        <sz val="10"/>
        <rFont val="Arial"/>
        <family val="2"/>
      </rPr>
      <t xml:space="preserve"> Publicar en la página web, los informes correspondientes a la participación en los encuentros ciudadanos convocados por el DNP.</t>
    </r>
  </si>
  <si>
    <t>La OCI evidenció que la actividad estába para ejecutar en el primer semestre del periodo, sin embargo por emergencia sanitaria no se realizo,</t>
  </si>
  <si>
    <r>
      <rPr>
        <b/>
        <sz val="10"/>
        <color rgb="FFFF0000"/>
        <rFont val="Arial"/>
        <family val="2"/>
      </rPr>
      <t xml:space="preserve">PAAC-3-M3-A7 - </t>
    </r>
    <r>
      <rPr>
        <sz val="10"/>
        <rFont val="Arial"/>
        <family val="2"/>
      </rPr>
      <t>Hacer seguimiento al cumplimiento de la Política de Rendición de Cuentas a la Ciudadanía</t>
    </r>
  </si>
  <si>
    <t>La OCI evidenció que el seguimeinto se realizo de cuaerdo a la comunicación de rendicion de cuentas a la ciudadania</t>
  </si>
  <si>
    <t>Jefe de Oficina de Control Interno</t>
  </si>
  <si>
    <r>
      <rPr>
        <b/>
        <sz val="10"/>
        <color rgb="FFFF0000"/>
        <rFont val="Arial"/>
        <family val="2"/>
      </rPr>
      <t xml:space="preserve">PAAC-3-M3-A8 - </t>
    </r>
    <r>
      <rPr>
        <sz val="10"/>
        <rFont val="Arial"/>
        <family val="2"/>
      </rPr>
      <t>Realizar seguimiento cuatrimestral al cumplimiento de la estrategia de rendición de cuentas.</t>
    </r>
  </si>
  <si>
    <t>La OCI hace seguimiento al PAAC y esta con fecha del periodo en mencion .</t>
  </si>
  <si>
    <t>TOTAL</t>
  </si>
  <si>
    <t>Componente 4:</t>
  </si>
  <si>
    <t>MECANISMOS PARA MEJORAR LA ATENCIÓN AL CIUDADANO</t>
  </si>
  <si>
    <r>
      <rPr>
        <b/>
        <sz val="10"/>
        <color rgb="FFFF0000"/>
        <rFont val="Arial"/>
        <family val="2"/>
      </rPr>
      <t xml:space="preserve">PAAC-4-M1 - </t>
    </r>
    <r>
      <rPr>
        <sz val="10"/>
        <rFont val="Arial"/>
        <family val="2"/>
      </rPr>
      <t xml:space="preserve">Crear mecanismos para fortalecer la atención incluyente y accesibilidad </t>
    </r>
  </si>
  <si>
    <r>
      <rPr>
        <b/>
        <sz val="10"/>
        <color rgb="FFFF0000"/>
        <rFont val="Arial"/>
        <family val="2"/>
      </rPr>
      <t>PAAC-4-M1-A1 -</t>
    </r>
    <r>
      <rPr>
        <sz val="10"/>
        <rFont val="Arial"/>
        <family val="2"/>
      </rPr>
      <t xml:space="preserve"> Desarrollar una capacitación dirigida a los servidores de la DIGER, para la atención de personas con discapacidad.</t>
    </r>
  </si>
  <si>
    <t>La OCI evidenció que la actividad está para ejecutar entre los meses de octubre y diciembre de 2020</t>
  </si>
  <si>
    <r>
      <rPr>
        <b/>
        <sz val="10"/>
        <color rgb="FFFF0000"/>
        <rFont val="Arial"/>
        <family val="2"/>
      </rPr>
      <t xml:space="preserve">PAAC-4-M1-A2 - </t>
    </r>
    <r>
      <rPr>
        <sz val="10"/>
        <rFont val="Arial"/>
        <family val="2"/>
      </rPr>
      <t>Caracterizar las sedes de la entidad para elaborar un diagnóstico de accesibilidad</t>
    </r>
  </si>
  <si>
    <t>Profesional Grupo de Prevención y Acción Integral.</t>
  </si>
  <si>
    <r>
      <rPr>
        <b/>
        <sz val="10"/>
        <color rgb="FFFF0000"/>
        <rFont val="Arial"/>
        <family val="2"/>
      </rPr>
      <t xml:space="preserve">PAAC-4-M1-A3 - </t>
    </r>
    <r>
      <rPr>
        <sz val="10"/>
        <rFont val="Arial"/>
        <family val="2"/>
      </rPr>
      <t>Construir un documento con los lineamientos para la comunicación y atención de emergencias para población en condición de discapacidad.</t>
    </r>
  </si>
  <si>
    <r>
      <rPr>
        <b/>
        <sz val="10"/>
        <color rgb="FFFF0000"/>
        <rFont val="Arial"/>
        <family val="2"/>
      </rPr>
      <t xml:space="preserve">PAAC-4-M2 - </t>
    </r>
    <r>
      <rPr>
        <sz val="10"/>
        <rFont val="Arial"/>
        <family val="2"/>
      </rPr>
      <t xml:space="preserve">Fortalecer 2 canales de
atención </t>
    </r>
  </si>
  <si>
    <r>
      <rPr>
        <b/>
        <sz val="10"/>
        <color rgb="FFFF0000"/>
        <rFont val="Arial"/>
        <family val="2"/>
      </rPr>
      <t xml:space="preserve">PAAC-4-M2-A1 - </t>
    </r>
    <r>
      <rPr>
        <sz val="10"/>
        <rFont val="Arial"/>
        <family val="2"/>
      </rPr>
      <t>Poner en funcionamiento una  herramienta de la Urna de Cristal en la entidad.</t>
    </r>
  </si>
  <si>
    <t>Se procede a validar el aplicativo KAWAK y se evidencia que la actividad fue reprograma al mes de diciembre de 2020</t>
  </si>
  <si>
    <t>Jefe Oficina Asesora de las TIC</t>
  </si>
  <si>
    <r>
      <rPr>
        <b/>
        <sz val="10"/>
        <color rgb="FFFF0000"/>
        <rFont val="Arial"/>
        <family val="2"/>
      </rPr>
      <t>PAAC-4-M2-A2 -</t>
    </r>
    <r>
      <rPr>
        <sz val="10"/>
        <rFont val="Arial"/>
        <family val="2"/>
      </rPr>
      <t xml:space="preserve"> Poner en funcionamiento un chat de atención al ciudadano en la página web.</t>
    </r>
  </si>
  <si>
    <t>La OCI evidenció que la actividad se ejecuto de la manerta correcta</t>
  </si>
  <si>
    <r>
      <rPr>
        <b/>
        <sz val="10"/>
        <color rgb="FFFF0000"/>
        <rFont val="Arial"/>
        <family val="2"/>
      </rPr>
      <t xml:space="preserve">PAAC-4-M3 - </t>
    </r>
    <r>
      <rPr>
        <sz val="10"/>
        <rFont val="Arial"/>
        <family val="2"/>
      </rPr>
      <t>Desarrollar el plan institucional de capacitación de los servidores públicos de la entidad</t>
    </r>
  </si>
  <si>
    <t>Profesional de Defensa Grupo de Gestión del Talento Humano</t>
  </si>
  <si>
    <t>31/12/20120</t>
  </si>
  <si>
    <r>
      <rPr>
        <b/>
        <sz val="10"/>
        <color rgb="FFFF0000"/>
        <rFont val="Arial"/>
        <family val="2"/>
      </rPr>
      <t xml:space="preserve">PAAC-4-M3-A1 - </t>
    </r>
    <r>
      <rPr>
        <sz val="10"/>
        <rFont val="Arial"/>
        <family val="2"/>
      </rPr>
      <t>Actualizar el Plan Institucional de Capacitación conforme a los lineamientos de la política de servicio al ciudadano de MIPG.</t>
    </r>
  </si>
  <si>
    <t>La actividad se debio realizar en el primer cuatrimestre (enero a abril)</t>
  </si>
  <si>
    <r>
      <rPr>
        <b/>
        <sz val="10"/>
        <color rgb="FFFF0000"/>
        <rFont val="Arial"/>
        <family val="2"/>
      </rPr>
      <t xml:space="preserve">PAAC-4-M3-A2 - </t>
    </r>
    <r>
      <rPr>
        <sz val="10"/>
        <rFont val="Arial"/>
        <family val="2"/>
      </rPr>
      <t>Socializar el plan institucional de capacitación.</t>
    </r>
  </si>
  <si>
    <t>La OCI evidenció que la actividad fue ejecutada en el mes de junio</t>
  </si>
  <si>
    <r>
      <rPr>
        <b/>
        <sz val="10"/>
        <color rgb="FFFF0000"/>
        <rFont val="Arial"/>
        <family val="2"/>
      </rPr>
      <t xml:space="preserve">PAAC-4-M3-A3 - </t>
    </r>
    <r>
      <rPr>
        <sz val="10"/>
        <rFont val="Arial"/>
        <family val="2"/>
      </rPr>
      <t>Realizar 3 mediciones del plan institucional de capacitación.</t>
    </r>
  </si>
  <si>
    <t>La OCI evidenció que la actividad se subio la informacion correspondiente a parte del 2do cuatrrimestre con diferente tipos de capacitaciones que son de suma importancia para funcionarios de DCC ( no hay informacion de participantes )</t>
  </si>
  <si>
    <r>
      <rPr>
        <b/>
        <sz val="10"/>
        <color rgb="FFFF0000"/>
        <rFont val="Arial"/>
        <family val="2"/>
      </rPr>
      <t xml:space="preserve">PAAC-4-M4 - </t>
    </r>
    <r>
      <rPr>
        <sz val="10"/>
        <rFont val="Arial"/>
        <family val="2"/>
      </rPr>
      <t xml:space="preserve">Asegurar el cumplimiento normativo en temas de tratamiento de datos personales y PQRSD </t>
    </r>
  </si>
  <si>
    <t xml:space="preserve">
Jefe Grupo de Orientación Ciudadana y Gestión Documental
Jefe de Oficina Asesora de las TIC</t>
  </si>
  <si>
    <r>
      <rPr>
        <b/>
        <sz val="10"/>
        <color rgb="FFFF0000"/>
        <rFont val="Arial"/>
        <family val="2"/>
      </rPr>
      <t xml:space="preserve">PAAC-4-M4-A1 - </t>
    </r>
    <r>
      <rPr>
        <sz val="10"/>
        <rFont val="Arial"/>
        <family val="2"/>
      </rPr>
      <t>Elaborar 4 informes  de control sobre el estado de respuestas a las PQRD de las dependencias y seccionales para identificar oportunidades de mejora en la prestación de los servicios</t>
    </r>
  </si>
  <si>
    <t>Jefe Grupo de Orientación Ciudadana y Gestión Documental</t>
  </si>
  <si>
    <t>La OCI que se hizo el seguimiento a las PQRS del trimestre, pero el archivo se subio en el mes septiembre cuando este deberia haber sido subido a principios del mes de julio.</t>
  </si>
  <si>
    <r>
      <rPr>
        <b/>
        <sz val="10"/>
        <color rgb="FFFF0000"/>
        <rFont val="Arial"/>
        <family val="2"/>
      </rPr>
      <t>PAAC-4-M4-A2 -</t>
    </r>
    <r>
      <rPr>
        <sz val="10"/>
        <rFont val="Arial"/>
        <family val="2"/>
      </rPr>
      <t xml:space="preserve"> Incorporar en los espacios de recolección de datos personales un check de aceptación del uso de los mismos para los fines que la entidad requiere.</t>
    </r>
  </si>
  <si>
    <t>Jefe de Oficina asesora de las TIC</t>
  </si>
  <si>
    <r>
      <rPr>
        <b/>
        <sz val="10"/>
        <color rgb="FFFF0000"/>
        <rFont val="Arial"/>
        <family val="2"/>
      </rPr>
      <t xml:space="preserve">PAAC-4-M4-A3 - </t>
    </r>
    <r>
      <rPr>
        <sz val="10"/>
        <rFont val="Arial"/>
        <family val="2"/>
      </rPr>
      <t>Traducir en una lengua nativa los lineamientos de PQR que están publicados en el siguiente  enlace de la página WEB: Inicios &gt; Servicios al Ciudadano &gt; Participación Ciudadana &gt; PQRD</t>
    </r>
  </si>
  <si>
    <t>La OCI evidenció que la actividad está para ejecutar el III  cuatrimestre de 2020.</t>
  </si>
  <si>
    <r>
      <rPr>
        <b/>
        <sz val="10"/>
        <color rgb="FFFF0000"/>
        <rFont val="Arial"/>
        <family val="2"/>
      </rPr>
      <t>PAAC-4-M5 -</t>
    </r>
    <r>
      <rPr>
        <sz val="10"/>
        <rFont val="Arial"/>
        <family val="2"/>
      </rPr>
      <t>Mejorar el relacionamiento con el ciudadano</t>
    </r>
  </si>
  <si>
    <t>Profesional de defensa Grupo de Prevención y acción Integral</t>
  </si>
  <si>
    <r>
      <rPr>
        <b/>
        <sz val="10"/>
        <color rgb="FFFF0000"/>
        <rFont val="Arial"/>
        <family val="2"/>
      </rPr>
      <t xml:space="preserve">PAAC-4-M5-A1 - </t>
    </r>
    <r>
      <rPr>
        <sz val="10"/>
        <rFont val="Arial"/>
        <family val="2"/>
      </rPr>
      <t>Desarrollar la fase de selección para la conformación de un grupo de atención psicosocial, para la atención de los grupos de rescate de la DCC.</t>
    </r>
  </si>
  <si>
    <t>Profesional de defensa Grupo de Prevención y Acción integral.</t>
  </si>
  <si>
    <t>Jefe de Oficina Asesora de las TIC</t>
  </si>
  <si>
    <r>
      <rPr>
        <b/>
        <sz val="10"/>
        <color rgb="FFFF0000"/>
        <rFont val="Arial"/>
        <family val="2"/>
      </rPr>
      <t xml:space="preserve">PAAC-4-M5-A2 - </t>
    </r>
    <r>
      <rPr>
        <sz val="10"/>
        <rFont val="Arial"/>
        <family val="2"/>
      </rPr>
      <t>Presentar una propuesta del desarrollo de un chatbooks a la Dirección General.</t>
    </r>
  </si>
  <si>
    <t>La OCI evidenció que en el seguimiento sugerido hay unos pantallazos con la aplicación de la firma PwC, sin embargo no hay una propuesta formal de contratacion de servicios que se haya presentado a la direccion general</t>
  </si>
  <si>
    <r>
      <rPr>
        <b/>
        <sz val="10"/>
        <color rgb="FFFF0000"/>
        <rFont val="Arial"/>
        <family val="2"/>
      </rPr>
      <t xml:space="preserve">PAAC-4-M5-A3 - </t>
    </r>
    <r>
      <rPr>
        <sz val="10"/>
        <rFont val="Arial"/>
        <family val="2"/>
      </rPr>
      <t>Aplicar una encuesta de percepción de los ciudadanos mensual, sobre la información brindada en la ventanilla de atención de la Dirección General, las Direcciones Seccionales y oficinas de Defensa Civil.</t>
    </r>
  </si>
  <si>
    <t>La OCI evidenció aplicación de encuesta de percepción de los ciudadanos  sobre la información brindada en la ventanilla de atención de la Dirección General, las Direcciones Seccionales y Oficinas de Defensa Civil.</t>
  </si>
  <si>
    <t>Componente 5:</t>
  </si>
  <si>
    <t>MECANISMOS PARA LA TRANSPARENCIA Y EL ACCESO A LA INFORMACIÓN</t>
  </si>
  <si>
    <r>
      <rPr>
        <b/>
        <sz val="10"/>
        <color rgb="FFFF0000"/>
        <rFont val="Arial"/>
        <family val="2"/>
      </rPr>
      <t xml:space="preserve">PAAC-5-M1 - </t>
    </r>
    <r>
      <rPr>
        <sz val="10"/>
        <rFont val="Arial"/>
        <family val="2"/>
      </rPr>
      <t>Desarrollar las actividades necesarias para mantener la transparencia activa de la entidad.</t>
    </r>
  </si>
  <si>
    <t>Responsables de generación y publicación de la información</t>
  </si>
  <si>
    <r>
      <t xml:space="preserve"> 
</t>
    </r>
    <r>
      <rPr>
        <b/>
        <sz val="10"/>
        <color rgb="FFFF0000"/>
        <rFont val="Arial"/>
        <family val="2"/>
      </rPr>
      <t>PAAC-5-M1-A1 -</t>
    </r>
    <r>
      <rPr>
        <sz val="10"/>
        <rFont val="Arial"/>
        <family val="2"/>
      </rPr>
      <t xml:space="preserve"> Realizar una revisión trimestral de la información publicada en el sitio web, de acuerdo con lo estipulado en la Ley de Transparencia y conforme a las especificaciones de la Resolución 3564 de 2015 de MinTIC.</t>
    </r>
  </si>
  <si>
    <t>La OCI evidenció revisión trimestral con sus respectiva observaciones de la información publicada en el sitio web de la Defensa Civil Colombiana.</t>
  </si>
  <si>
    <r>
      <rPr>
        <b/>
        <sz val="10"/>
        <color rgb="FFFF0000"/>
        <rFont val="Arial"/>
        <family val="2"/>
      </rPr>
      <t>PAAC-5-M1-A2 -</t>
    </r>
    <r>
      <rPr>
        <sz val="10"/>
        <rFont val="Arial"/>
        <family val="2"/>
      </rPr>
      <t xml:space="preserve"> Mantener actualizado en  el enlace de transparencia de la entidad, la información correspondiente a lo indicado en la Ley 1712 y conforme a las especificaciones de la Resolución 3564 de 2015 del MinTIC. </t>
    </r>
  </si>
  <si>
    <t>La OCI evidenció seguimiento al enlace de transparencia y las  observaciones realizadas a los aspectos que se encuentran desasctualizados.</t>
  </si>
  <si>
    <r>
      <rPr>
        <b/>
        <sz val="10"/>
        <color rgb="FFFF0000"/>
        <rFont val="Arial"/>
        <family val="2"/>
      </rPr>
      <t>PAAC-5-M1-A32 -</t>
    </r>
    <r>
      <rPr>
        <sz val="10"/>
        <rFont val="Arial"/>
        <family val="2"/>
      </rPr>
      <t xml:space="preserve"> Actualizar el Código de Buen Gobierno de la Entidad y publicarlo en la página web.</t>
    </r>
  </si>
  <si>
    <t>La OCI evidenció que la actividad se ejecuto en el tiempo solicitado, se procedio a verificar los archivos adjuntos y estan los documentos soportes igualmente en la pagina de la DCC</t>
  </si>
  <si>
    <r>
      <rPr>
        <b/>
        <sz val="10"/>
        <color rgb="FFFF0000"/>
        <rFont val="Arial"/>
        <family val="2"/>
      </rPr>
      <t>PAAC-5-M1-A4 -</t>
    </r>
    <r>
      <rPr>
        <sz val="10"/>
        <rFont val="Arial"/>
        <family val="2"/>
      </rPr>
      <t xml:space="preserve"> Hacer seguimiento cuatrimestral a la Estrategia de racionalización de trámites de la Entidad.</t>
    </r>
  </si>
  <si>
    <t>La OCI evidencio que en el aplicativo KAWAK,  hay un archivo en el cual se muestran los tramites de los cuales se les espera mejorar su tiempo de respuesta.</t>
  </si>
  <si>
    <r>
      <rPr>
        <b/>
        <sz val="10"/>
        <color rgb="FFFF0000"/>
        <rFont val="Arial"/>
        <family val="2"/>
      </rPr>
      <t xml:space="preserve">PAAC-5-M2 - </t>
    </r>
    <r>
      <rPr>
        <sz val="10"/>
        <rFont val="Arial"/>
        <family val="2"/>
      </rPr>
      <t>Desarrollar las actividades necesarias para mantener la transparencia pasiva de la entidad.</t>
    </r>
  </si>
  <si>
    <t>Responsables de los procesos</t>
  </si>
  <si>
    <r>
      <rPr>
        <b/>
        <sz val="10"/>
        <color rgb="FFFF0000"/>
        <rFont val="Arial"/>
        <family val="2"/>
      </rPr>
      <t xml:space="preserve">PAAC-5-M2-A1 - </t>
    </r>
    <r>
      <rPr>
        <sz val="10"/>
        <rFont val="Arial"/>
        <family val="2"/>
      </rPr>
      <t xml:space="preserve">Realizar seguimiento trimestral a la calidad y oportunidad de las  respuestas de PQRSD, allegadas por los ciudadanos y grupos de interés. </t>
    </r>
  </si>
  <si>
    <t>Jefe de Grupo de Orientación Ciudadana y Gestión Documental</t>
  </si>
  <si>
    <t>La OCI evidenció informe PQR - II trimestre de 2020, en el cual se adjuntan las oportunidades de mejora de acuerdo a las PQRS</t>
  </si>
  <si>
    <r>
      <rPr>
        <b/>
        <sz val="10"/>
        <color rgb="FFFF0000"/>
        <rFont val="Arial"/>
        <family val="2"/>
      </rPr>
      <t xml:space="preserve">PAAC-5-M1-A1 - </t>
    </r>
    <r>
      <rPr>
        <sz val="10"/>
        <rFont val="Arial"/>
        <family val="2"/>
      </rPr>
      <t>Actualizar mensualmente el calendario de actividades, en la página web, de acuerdo con lo programado a nivel nacional.</t>
    </r>
  </si>
  <si>
    <t>Profesional de defensa Oficina de Prensa</t>
  </si>
  <si>
    <t>Se precedio a verificar el calendario de actividades en la pagina WEB de la pagina de la DCC y se encuentra detallada con cada uno de los eventos programados</t>
  </si>
  <si>
    <r>
      <rPr>
        <b/>
        <sz val="10"/>
        <color rgb="FFFF0000"/>
        <rFont val="Arial"/>
        <family val="2"/>
      </rPr>
      <t>PAAC-5-M1-A2 -</t>
    </r>
    <r>
      <rPr>
        <sz val="10"/>
        <rFont val="Arial"/>
        <family val="2"/>
      </rPr>
      <t xml:space="preserve"> Actualizar el normograma de la Entidad en la sección de transparencia Del sitio web oficial.</t>
    </r>
  </si>
  <si>
    <t xml:space="preserve">Jefe Oficina Asesora Jurídica
</t>
  </si>
  <si>
    <t>La OCI evidenció actualización del normograma de la entidad y su publicación en la página web de la entidad en la siguiente ruta:
Link: https://www.defensacivil.gov.co/index.php?idcategoria=70</t>
  </si>
  <si>
    <r>
      <rPr>
        <b/>
        <sz val="10"/>
        <color rgb="FFFF0000"/>
        <rFont val="Arial"/>
        <family val="2"/>
      </rPr>
      <t>PAAC-5-M1-A3 -</t>
    </r>
    <r>
      <rPr>
        <sz val="10"/>
        <rFont val="Arial"/>
        <family val="2"/>
      </rPr>
      <t xml:space="preserve"> Actualizar las bases de Datos abiertos en la página www.datos.gov.co</t>
    </r>
  </si>
  <si>
    <t>Jefe Oficina Asesora de las TIC.</t>
  </si>
  <si>
    <t>La OCI evidenció que la actividad está para ejecutar el IV trimestre de 2020.</t>
  </si>
  <si>
    <r>
      <rPr>
        <b/>
        <sz val="10"/>
        <color rgb="FFFF0000"/>
        <rFont val="Arial"/>
        <family val="2"/>
      </rPr>
      <t>PAAC-5-M3 -</t>
    </r>
    <r>
      <rPr>
        <sz val="10"/>
        <rFont val="Arial"/>
        <family val="2"/>
      </rPr>
      <t xml:space="preserve"> Fortalecer los conocimientos y criterios sobre transparencia y acceso a la información pública </t>
    </r>
  </si>
  <si>
    <t>Jefe Oficina Asesora de Planeación.</t>
  </si>
  <si>
    <t xml:space="preserve">Realizar una capacitación a los servidores públicos de la DIGER, sobre la Ley de transparencia y los tipos de transparencia que existen. </t>
  </si>
  <si>
    <t>La OCI evidenció que la actividad se ejecuto en el mes de julio donde poir medio de correo electronico se cito a los funcionarios para darles capacitacion sobre transparencia yu acceso a la informacion publica</t>
  </si>
  <si>
    <t>Componente 6:</t>
  </si>
  <si>
    <t>INICIATIVAS ADICIONALES</t>
  </si>
  <si>
    <r>
      <rPr>
        <b/>
        <sz val="10"/>
        <color rgb="FFFF0000"/>
        <rFont val="Arial"/>
        <family val="2"/>
      </rPr>
      <t xml:space="preserve">PAAC-6-M1 - </t>
    </r>
    <r>
      <rPr>
        <sz val="10"/>
        <rFont val="Arial"/>
        <family val="2"/>
      </rPr>
      <t>Identificar y relacionar las condiciones institucionales idóneas para la promoción de la participación ciudadana</t>
    </r>
  </si>
  <si>
    <r>
      <rPr>
        <b/>
        <sz val="10"/>
        <color rgb="FFFF0000"/>
        <rFont val="Arial"/>
        <family val="2"/>
      </rPr>
      <t>PAAC-6-M1-A1 -</t>
    </r>
    <r>
      <rPr>
        <sz val="10"/>
        <rFont val="Arial"/>
        <family val="2"/>
      </rPr>
      <t xml:space="preserve"> Desarrollar mesas de trabajo con los responsables de los procesos, en articulación con los responsables de la urna de cristal, con el fin de activarla en los ejercicios de participación ciudadana.</t>
    </r>
  </si>
  <si>
    <t>Técnico para apoyo de seguridad y defensa OAP</t>
  </si>
  <si>
    <t xml:space="preserve">La OCI evidenció que la actividad está para ejecutar En el III cuatrimestre del periodo </t>
  </si>
  <si>
    <r>
      <rPr>
        <b/>
        <sz val="10"/>
        <color rgb="FFFF0000"/>
        <rFont val="Arial"/>
        <family val="2"/>
      </rPr>
      <t>PAAC-6-M1-A2 -</t>
    </r>
    <r>
      <rPr>
        <sz val="10"/>
        <rFont val="Arial"/>
        <family val="2"/>
      </rPr>
      <t xml:space="preserve">Diseñar un cronograma que defina los espacios de participación ciudadana que se implementarán en la entidad y publicarlo en la página web oficial </t>
    </r>
  </si>
  <si>
    <t>La OCI evidenció que la actividad está para ejecutar el III cuatrimestre de 2020.</t>
  </si>
  <si>
    <r>
      <rPr>
        <b/>
        <sz val="10"/>
        <color rgb="FFFF0000"/>
        <rFont val="Arial"/>
        <family val="2"/>
      </rPr>
      <t xml:space="preserve">PAAC-6-M2 </t>
    </r>
    <r>
      <rPr>
        <sz val="10"/>
        <rFont val="Arial"/>
        <family val="2"/>
      </rPr>
      <t>-Promover la participación ciudadana en la gestión de la entidad.</t>
    </r>
  </si>
  <si>
    <r>
      <rPr>
        <b/>
        <sz val="10"/>
        <color rgb="FFFF0000"/>
        <rFont val="Arial"/>
        <family val="2"/>
      </rPr>
      <t>PAAC-6-M2-A1 -</t>
    </r>
    <r>
      <rPr>
        <sz val="10"/>
        <rFont val="Arial"/>
        <family val="2"/>
      </rPr>
      <t xml:space="preserve"> Elaborar y socializar una directiva de participación ciudadana, que contenga un cronograma que identifique su desarrollo.</t>
    </r>
  </si>
  <si>
    <t>La OCI evidenció que la actividad corresponde al primer cuatrimestre del periodo</t>
  </si>
  <si>
    <r>
      <rPr>
        <b/>
        <sz val="10"/>
        <color rgb="FFFF0000"/>
        <rFont val="Arial"/>
        <family val="2"/>
      </rPr>
      <t>PAAC-6-M2-A2 -</t>
    </r>
    <r>
      <rPr>
        <sz val="10"/>
        <rFont val="Arial"/>
        <family val="2"/>
      </rPr>
      <t xml:space="preserve"> Elaborar un informe trimestral y publicarlo en la página web de la entidad, donde se consoliden los ejercicios de participación ciudadana realizados, que incluya los siguientes aspectos:
1. Número de actividades en las que se involucró al ciudadano 
2. Grupos de valor involucrados
3. Fases del ciclo que fueron sometidas a participación. 
4. Resultados de la incidencia de la participación.</t>
    </r>
  </si>
  <si>
    <t xml:space="preserve">La OCI evidenció informe actividades de participación ciudadana - II cuatrimestre de 2020, en el cual se consolidaron los ejercicios de participación ciudadana. Así, mismo la OCI evidenció que el informe se encuentra publicado en el siguiente link:
https://www.defensacivil.gov.co/index.php?idcategoria=174&amp;ne de la página web. </t>
  </si>
  <si>
    <r>
      <rPr>
        <b/>
        <sz val="10"/>
        <color rgb="FFFF0000"/>
        <rFont val="Arial"/>
        <family val="2"/>
      </rPr>
      <t xml:space="preserve">PAAC-6-M1-A3 - </t>
    </r>
    <r>
      <rPr>
        <sz val="10"/>
        <rFont val="Arial"/>
        <family val="2"/>
      </rPr>
      <t>Realizar seguimiento trimestral al cumplimiento de la Estrategia de Participación Ciudadana y el cronograma planteado.</t>
    </r>
  </si>
  <si>
    <t>La OCI evidenció seguimiento trimestral al cumplimiento de la estrategia de participación ciudadana de conformidad con lo planeado en el cronograma.</t>
  </si>
  <si>
    <r>
      <rPr>
        <b/>
        <sz val="10"/>
        <color rgb="FFFF0000"/>
        <rFont val="Arial"/>
        <family val="2"/>
      </rPr>
      <t xml:space="preserve">PAAC-6-M1-A4 - </t>
    </r>
    <r>
      <rPr>
        <sz val="10"/>
        <rFont val="Arial"/>
        <family val="2"/>
      </rPr>
      <t>Disponer 12 espacios de participación ciudadana: 2 foros de planeación participativa, 5 encuestas sobre temas misionales, 5 encuestas sobre temas administrativos dirigidos a los usuarios.</t>
    </r>
  </si>
  <si>
    <t xml:space="preserve">La OCI evidenció que para el II cuatrimestre de 2020, se publicó en la página web una encuesta sobre la información que es más importante para los ciudadanos al visitar el sitio web de la entidad (Encuesta sobre temas administrativos), igualmente en la pagina de la DCC hay un foro de participacion ciudadana </t>
  </si>
  <si>
    <r>
      <rPr>
        <b/>
        <sz val="10"/>
        <color rgb="FFFF0000"/>
        <rFont val="Arial"/>
        <family val="2"/>
      </rPr>
      <t>PAAC-6-M1-A5 -</t>
    </r>
    <r>
      <rPr>
        <sz val="10"/>
        <rFont val="Arial"/>
        <family val="2"/>
      </rPr>
      <t>Realizar un ejercicio de  participación ciudadana con los voluntarios basado en la Identificación y priorización de necesidades en materia de capacitación.</t>
    </r>
  </si>
  <si>
    <t xml:space="preserve">Total ejecucion </t>
  </si>
  <si>
    <t>MAPA DE RIESGOS</t>
  </si>
  <si>
    <t>PLANEACION 
ESTRATEGICA</t>
  </si>
  <si>
    <t>PES-FT-012</t>
  </si>
  <si>
    <t>Acciones</t>
  </si>
  <si>
    <t xml:space="preserve">1. Registrar los planes de acción de las seccionales en el módulo de planeación estratégica de KAWAK 
</t>
  </si>
  <si>
    <t>2. Verificar  en el segundo semestre el registro de soportes del plan de acción de las seccionales en el módulo de Planeación Estratégica del aplicativo KAWAK</t>
  </si>
  <si>
    <t>ANALISIS DEL RIESGO</t>
  </si>
  <si>
    <t xml:space="preserve"> VALORACIÓN DEL RIESGO ANTES DE CONTROLES </t>
  </si>
  <si>
    <t>VALORACIÓN DEL RIESGO DESPUES DE CONTROLES</t>
  </si>
  <si>
    <t>ACCIONES</t>
  </si>
  <si>
    <t>MONITOREO</t>
  </si>
  <si>
    <t>PROCESO</t>
  </si>
  <si>
    <t>CAUSA</t>
  </si>
  <si>
    <t>RIESGO</t>
  </si>
  <si>
    <t>CONSECUENCIA (Efectos)</t>
  </si>
  <si>
    <t>VALORACIÓN DEL RIESGO</t>
  </si>
  <si>
    <t>NUEVA CALIFICACIÓN</t>
  </si>
  <si>
    <t>Fecha cumplimiento de las acciones</t>
  </si>
  <si>
    <t>Responsable</t>
  </si>
  <si>
    <t>Indicador</t>
  </si>
  <si>
    <t>Acciones ejecutadas</t>
  </si>
  <si>
    <t>Registro o evidencia de cumplimiento</t>
  </si>
  <si>
    <t>Medición del indicador</t>
  </si>
  <si>
    <t>SEGUIMIENTO  OCI - II CUATRIMESTRE DE 2020</t>
  </si>
  <si>
    <t>% CUMPLIMIENTO ACTIVIDADES
 II Cuatrimestre 2020</t>
  </si>
  <si>
    <t>Riesgo Inherente</t>
  </si>
  <si>
    <t>Riesgo Residual</t>
  </si>
  <si>
    <t>Probabilidad</t>
  </si>
  <si>
    <t>Impacto</t>
  </si>
  <si>
    <t>Nueva Zona del riesgo</t>
  </si>
  <si>
    <t>Zona del riesgo</t>
  </si>
  <si>
    <t>Controles</t>
  </si>
  <si>
    <t>Puntaje evaluación de los Controles</t>
  </si>
  <si>
    <t>Casillas a disminuir</t>
  </si>
  <si>
    <t xml:space="preserve">Puntaje </t>
  </si>
  <si>
    <t>Zona de Riesgo</t>
  </si>
  <si>
    <t xml:space="preserve">% ACUMULADO META </t>
  </si>
  <si>
    <t>OBSERVACIONES OCI</t>
  </si>
  <si>
    <t>PROCESOS ESTRATEGICOS</t>
  </si>
  <si>
    <t>Ausencia de indicadores claros</t>
  </si>
  <si>
    <r>
      <rPr>
        <b/>
        <sz val="11"/>
        <color rgb="FFFF0000"/>
        <rFont val="Arial"/>
        <family val="2"/>
      </rPr>
      <t xml:space="preserve">ID 359 - </t>
    </r>
    <r>
      <rPr>
        <sz val="11"/>
        <rFont val="Arial"/>
        <family val="2"/>
      </rPr>
      <t>Presentación de información falsa y/o alterada de la gestión institucional para obtener favorabilidad de las autoridades de control</t>
    </r>
  </si>
  <si>
    <t>Pérdida de credibilidad institucional.</t>
  </si>
  <si>
    <t>Posible</t>
  </si>
  <si>
    <t>Mayor</t>
  </si>
  <si>
    <t>Alta</t>
  </si>
  <si>
    <t>La Jefe de la Oficina de Planeación, semestralmente solicita la presentación de la rendición de cuentas del plan de acción de las seccionales con los respectivos soportes,  con el fin de realizar la evaluación de los acuerdos de gestión y medición de indicadores de gestión.  En caso de no encontrarse la información suficiente, se realiza la consulta en la dependencia correspondiente o en el SIM.  Evidencia: Acuerdos de Gestión, consolidado de indicadores de gestión y correos o CDs con las rendiciones de cuentas.</t>
  </si>
  <si>
    <t>Improbable</t>
  </si>
  <si>
    <t>Moderada</t>
  </si>
  <si>
    <t>1. Registrar los planes de acción de las seccionales en el módulo de planeación estratégica de KAWAK 
2. Verificar  en el segundo semestre el registro de soportes del plan de acción de las seccionales en el módulo de Planeación Estratégica del aplicativo KAWAK
3. Modificar la guía de auditorías para que se verifique la consistencia de  las evidencias  de los procesos misionales registradas  en el SIM</t>
  </si>
  <si>
    <t>1. 30/06/2020
2. 31/12/2020
3. 31/07/2020</t>
  </si>
  <si>
    <t>No. de actividades realizadas /
No. de actividades planeadas</t>
  </si>
  <si>
    <t xml:space="preserve">1. La OCI evidencio la creación en KAWAK de los planes de acción del 2020,
2. Se hace seguimiento a 31/102/2020
2. El dato fue solicitado por medio de correo electronico el dia 25/08/20 a Viviana Murcia </t>
  </si>
  <si>
    <t>Falta de controles en la información</t>
  </si>
  <si>
    <t>Anualmente, la Jefe de la Oficina presenta un programa de auditorías internas de calidad para aprobación del Director General, con el fin de verificar el cumplimiento de requisitos de calidad y comprobar la veracidad de  la información registrada en el SIM frente a la ejecución de las metas misionales.  En caso de evidenciarse desviaciones, se registra el hallazgo en el informe de auditoría y se solicita la elaboración del respectivo plan de mejoramiento.</t>
  </si>
  <si>
    <t>Falta de sistematización de la información</t>
  </si>
  <si>
    <t>Cada trimestre, los responsables de las metas suben al módulo de planeación estratégica del aplicativo  KAWAK, las evidencias que soportan el avance o cumplimiento de las metas del plan de acción, las cuales son verificadas por la Oficina de Control Interno.  Cualquier desviación queda consignada en el informe de seguimiento respectivo.</t>
  </si>
  <si>
    <t>PROCESOS MISIONALES - GESTION DEL RIESGO</t>
  </si>
  <si>
    <t>Tráfico de influencias</t>
  </si>
  <si>
    <r>
      <rPr>
        <b/>
        <sz val="11"/>
        <color rgb="FFFF0000"/>
        <rFont val="Arial"/>
        <family val="2"/>
      </rPr>
      <t xml:space="preserve">ID 360 - </t>
    </r>
    <r>
      <rPr>
        <sz val="11"/>
        <rFont val="Arial"/>
        <family val="2"/>
      </rPr>
      <t>Falsificación de certificados para los cursos de educación  informal  para beneficio propio o de un tercero</t>
    </r>
  </si>
  <si>
    <t>Investigaciones de tipo Disciplinario, Penal o Fiscal.
Pérdida de credibilidad frente a la entidad e impacto negativo en la imagen institucional.</t>
  </si>
  <si>
    <t>Cada vez que se requiera, la profesional de la Subdirección de CyE, verifica en el Sistema de Información Misional, la información registrada en los certificados requeridos.  Si encuentra alguna novedad, informa por escrito al Subdirector de C y E.  Como evidencia deja un correo electrónico.</t>
  </si>
  <si>
    <t>1. Actualizar el procedimiento Planeación, ejecución y evaluación de cursos y sus formatos de acuerdo con los controles descritos.
2. Cuando se requiera se realiza la verificación de la información de las personas capacitadas  en el SIM</t>
  </si>
  <si>
    <t>1. 30/03/2020
2. Cuando se requiera</t>
  </si>
  <si>
    <t>Subdirector de Capacitación y Entrenamiento</t>
  </si>
  <si>
    <t>1. por fecha corresponde al cuatrimestre anterior.
2. Se consulta con la persona encargada del control y nos indica que se hace una revision periodica de la informacion de personas capacitadas en el SIM con el fin de rendir informe a la direccion general.</t>
  </si>
  <si>
    <t>Intereses particulares de personal que se capacita en la entidad.</t>
  </si>
  <si>
    <t>Firmas de constancias del curso básico por parte de los Directores Seccionales; cursos intermedios directores de escuela y  cursos de especialista por el coordinador académico y Directores de Escuela.</t>
  </si>
  <si>
    <t xml:space="preserve"> Incumplimiento de los lineamientos académicos</t>
  </si>
  <si>
    <t>Cada vez que se requiera la profesional de la Subdirección de CyE consulta en el SIM si determinada persona realizó o no algún curso de educación informal y si fue aprobado o no.  En caso de encontrar alguna novedad, informará por escrito al Subdirector de Cy E.</t>
  </si>
  <si>
    <t>Debilidad en los controles en las seccionales</t>
  </si>
  <si>
    <r>
      <rPr>
        <b/>
        <sz val="11"/>
        <color rgb="FFFF0000"/>
        <rFont val="Arial"/>
        <family val="2"/>
      </rPr>
      <t xml:space="preserve">ID 361 - </t>
    </r>
    <r>
      <rPr>
        <sz val="11"/>
        <rFont val="Arial"/>
        <family val="2"/>
      </rPr>
      <t>Falsificación de información en los expedientes de capacitación de los cursos básicos para el cumplimiento de metas</t>
    </r>
  </si>
  <si>
    <t>Investigaciones de tipo Disciplinario o Fiscal.
Pérdida de credibilidad frente a la entidad e impacto negativo en la imagen institucional.</t>
  </si>
  <si>
    <t>Semestralmente, la profesional de la Subdirección de CyE, verifica  en el Sistema de Información Misional, el formato con el informe final del curso con el fin de evaluar los indicadores del procesos de capacitación, lo cual registra en el formato diseñado por la Oficina de Planeación.  Igualmente verifica que el instructor se encuentre registrado y actualizado en el SIM. Evidencia formato de indicadores de gestión de las seccionales.</t>
  </si>
  <si>
    <t>1.  Realizar una verificación semestral  de los cursos básicos en las seccionales.
2 Realizar una auditoría aleatoria a 4 seccionales para verificación del proceso de capacitación en sitio.</t>
  </si>
  <si>
    <t>1. 30/07/2020 y 31/12/2020
2. 30/10/2020</t>
  </si>
  <si>
    <t>1. La OCI evidencio que se hizo verificacion a la secional del choco que consistio en una verificacion a un curso dictado de acuerdo a un cronograma previamente establecido.
Se hace recordatorio el dia 31 de agosto</t>
  </si>
  <si>
    <t>N/A</t>
  </si>
  <si>
    <t>Anualmente, la Jefe de Planeación, elabora el programa de auditorías internas de calidad para verificación del cumplimiento de requisitos, entre otros, del proceso de capacitación.  En caso de alguna novedad  se registra el hallazgo en el informe de auditoría y se solicita el plan de mejoramiento respectivo.  Evidencia: Informes de auditoría.</t>
  </si>
  <si>
    <t>Falta de control en el inventario de donaciones recibidas</t>
  </si>
  <si>
    <r>
      <rPr>
        <b/>
        <sz val="11"/>
        <color rgb="FFFF0000"/>
        <rFont val="Arial"/>
        <family val="2"/>
      </rPr>
      <t>ID 362 -</t>
    </r>
    <r>
      <rPr>
        <sz val="11"/>
        <rFont val="Arial"/>
        <family val="2"/>
      </rPr>
      <t xml:space="preserve"> Destinación indebida de ayudas  para el beneficio propio o de particulares</t>
    </r>
  </si>
  <si>
    <t xml:space="preserve">Trimestralmente, el técnico para apoyo del Grupo de Prevención encargado del módulo de donaciones en el SIM, revisa el registro de los bienes recibidos por parte de las seccionales en el SIM,  con el fin de verificar que se hayan registrado todos los bienes de acuerdo con el acta de donación.  En caso de encontrarse diferencias, se envía un correo al responsable para que registre o realice los ajustes del caso. Evidencia actas, registros en el SIM y correos electrónicos. </t>
  </si>
  <si>
    <t>Rara vez</t>
  </si>
  <si>
    <t>Baja</t>
  </si>
  <si>
    <t>1. Ejecutar los tres controles de acuerdo con lo descrito.
2. Actualizar el procedimiento de donaciones actualizando los controles descritos</t>
  </si>
  <si>
    <t>1. De acuerdo con la periodicidad de cada control.
2. 30/06/2020</t>
  </si>
  <si>
    <t>1. Técnico para Apoyo Acción Social
2. Profesional Acción Social</t>
  </si>
  <si>
    <r>
      <t xml:space="preserve">1. La OCI evidenció soporte en word en el cual el técnico para apoyo del Grupo de Prevención sube los pantallazos en el cual se muestra el paso a paso del proceso de entrega de donaciones a las seccionales, validacion en el aplicativo SIM,  y evidencia de solicitud de entrega de donaciones por parte de DIAN 
</t>
    </r>
    <r>
      <rPr>
        <sz val="11"/>
        <color rgb="FFFF0000"/>
        <rFont val="Arial"/>
        <family val="2"/>
      </rPr>
      <t>2. La OCI evidenció que el documento no esta actualizado en la intranet de la DCC, por consiguiente se le envia correo electronico a la persona para que proceda a actualizar (25/08/2020)</t>
    </r>
  </si>
  <si>
    <t>Inadecuada planeación en las actividades de entrega de ayudas humanitarias por parte de las Direcciones Seccionales y/o oficinas para la destinación adecuada de las estas.</t>
  </si>
  <si>
    <t>Cada vez que una seccional va a realizar una entrega de donaciones en el marco de la acción social, debe diligenciar el formato RSA-FT-004,  en el cual se planifica cada actividad, para aprobación del Director General.  En caso de no presentar el formato RSA-FT-004 o estar mal diligenciado, la entrega no será aprobada.</t>
  </si>
  <si>
    <t>Falta de control en el procedimiento de entrega de ayudas humanitarias</t>
  </si>
  <si>
    <t>Semestralmente, el técnico para apoyo del Grupo de Prevención encargado del módulo de donaciones en el SIM, compara el formato RSA-FT-004 contra las evidencias de entrega de las donaciones  con el fin de comprobar que se haya realizado la entrega y verificar la descarga de los bienes del kardex respectivo.  En caso de no contar con las evidencias o comprobar que no se ha realizado el descargue de los bienes del kardex de donaciones,  se escribe un correo al responsable de la entrega para que subsane las observaciones. Evidencia: expediente de cada donación.</t>
  </si>
  <si>
    <t>Ausencia de controles para los voluntarios</t>
  </si>
  <si>
    <r>
      <rPr>
        <b/>
        <sz val="11"/>
        <color rgb="FFFF0000"/>
        <rFont val="Arial"/>
        <family val="2"/>
      </rPr>
      <t xml:space="preserve">ID 363 - </t>
    </r>
    <r>
      <rPr>
        <sz val="11"/>
        <rFont val="Arial"/>
        <family val="2"/>
      </rPr>
      <t>Hurto de bienes de terceros en atención de emergencias</t>
    </r>
  </si>
  <si>
    <t>1. Detrimento de la imagen institucional.
2. Pérdida de credibilidad y confianza por parte de la comunidad.
3. Investigaciones de orden disciplinarios, fiscal o penal a la entidad.</t>
  </si>
  <si>
    <t>Cada vez que se tramita una solicitud de incorporación de un voluntario, el director seccional verifica entre otros, los antecedentes penales, judiciales y disciplinarios de acuerdo con el procedimiento GHU-PD-005 Administración trámites del voluntariado, lo cual envía en medio electrónico al área del voluntariado de la Dirección General.  En caso de encantararse alguna observación o incumplimiento de requisitos, la solicitud de incorporación es devuelta por el funcionario responsable del voluntariado para que el director seccional subsane o requiera al aspirante, una vez se cumplen todos los criterios para su incorporación, el aspirante  es registrado en el SIM, en caso contrario no se vincula como voluntario de la Entidad y la solicitud se archiva.  Evidencias: Solicitudes de incorporación, correos electrónicos y SIM módulo de voluntariado</t>
  </si>
  <si>
    <t>1. Cada vez que llegue una queja sobre la actuación de un voluntario, el Director Seccional debe realizar una investigación disciplinaria de acuerdo con lo establecido en el reglamento del voluntariado (Resolución 870 de 2011)</t>
  </si>
  <si>
    <t>NA</t>
  </si>
  <si>
    <t xml:space="preserve">Se verifica por cumplido el riesgo con correo en el cual nos indica Viviana Marin que cuando la zona de riesgo queda en zona baja, hay potestad para no aplicar control </t>
  </si>
  <si>
    <t>Respuesta a desastres por parte de las organizaciones de DC sin la participación de funcionarios de la Entidad.</t>
  </si>
  <si>
    <t>GESTIÓN DE LA INFORMACIÓN</t>
  </si>
  <si>
    <t>Insuficiencia en el control de las herramientas tecnológicas disponibles al ciudadano para la formulación y seguimiento de peticiones, quejas, denuncias y reclamos.</t>
  </si>
  <si>
    <r>
      <rPr>
        <b/>
        <sz val="11"/>
        <color rgb="FFFF0000"/>
        <rFont val="Arial"/>
        <family val="2"/>
      </rPr>
      <t xml:space="preserve">ID 384 - </t>
    </r>
    <r>
      <rPr>
        <sz val="11"/>
        <rFont val="Arial"/>
        <family val="2"/>
      </rPr>
      <t>Eliminar u ocultar peticiones, quejas, denuncias y reclamaciones radicadas en las seccionales por los ciudadanos a través de los diferentes canales de atención, afectando con esta acción los derechos del ciudadano y los valores éticos de la entidad.</t>
    </r>
  </si>
  <si>
    <t>Investigaciones de tipo Disciplinario o de tipo Penal.</t>
  </si>
  <si>
    <t>Cada vez que se recibe un documento físico, el funcionario encargado de la correspondencia lo radica y lo registra en el formato GIN-FT-010.  Durante el seguimiento del proceso de archivo y correspondencia, el funcionario del Grupo de Orientación Ciudadana y Gestión Documental cruza el citado formato contra el archivo físico o digital, en caso de encontrar novedades se registra en el acta respectiva y se conmina a su corrección inmediata.</t>
  </si>
  <si>
    <t>1. Implementar el gestor documental SEVEN a nivel nacional</t>
  </si>
  <si>
    <t>La OCI evidenció implementación y funcionamiento del Gestor Documental inicialmente en la Direción General, así mismo, la OCI evidenció que la implmentación a nivel nacional está planeada al finalizar la vigencia 2020.</t>
  </si>
  <si>
    <t>No hay una ventanilla única de correspondencia a nivel nacional</t>
  </si>
  <si>
    <t>En cada auditoría de gestión de calidad se verifica el formato GIN-FT-010 contra el archivo físico o digital, en caso de encontrar novedades, se registra el hallazgo en el informe de auditoría y se solicita la formulación de acciones de mejora al auditado.</t>
  </si>
  <si>
    <t>GESTIÓN LEGAL</t>
  </si>
  <si>
    <r>
      <rPr>
        <b/>
        <sz val="11"/>
        <color rgb="FFFF0000"/>
        <rFont val="Arial"/>
        <family val="2"/>
      </rPr>
      <t>ID 385 -</t>
    </r>
    <r>
      <rPr>
        <sz val="11"/>
        <rFont val="Arial"/>
        <family val="2"/>
      </rPr>
      <t xml:space="preserve">  Cobro de dádivas por agilización de trámites de las organizaciones de Defensa Civil en beneficio propio o de un tercero</t>
    </r>
  </si>
  <si>
    <t>Investigaciones de tipo Disciplinario o Investigaciones de tipo Penal o Fiscal.
Pérdida de credibilidad frente a la entidad e impacto negativo en la imagen institucional.</t>
  </si>
  <si>
    <t>A pesar de que no existe injerencia directa por parte de la Oficina Jurídica frente a las organizaciones de Defensa Civil, cada vez que llega una solicitud, el  abogado asignado a dicho trámite verifica el cumplimiento de los requisitos, generándose una respuesta directa al Director Seccional.  En ningún caso esta respuesta va dirigida a un particular, llámese junta o comité.  Como evidencia, están los formatos GLE-FT-002 y GLE-FT-003 y las comunicaciones que sean del caso.  En el evento de recibirse una solicitud directa de una organización, se redirecciona a la respectiva seccional u oficina, dejando como evidencia los correos electrónicos.</t>
  </si>
  <si>
    <t>En caso de materializarse el riesgo, se aplica el procedimiento disciplinario bien sea para servidores públicos o voluntarios</t>
  </si>
  <si>
    <r>
      <t xml:space="preserve">De conformidad con la ubicación de la nueva zona de riesgo (Baja), la OCI evidenció que este riesgo no requiere elaborar plan de tratamiento, por tanto en el próximo seguimiento la Oficina de Control Interno evaluará los controles asociados al riesgo </t>
    </r>
    <r>
      <rPr>
        <sz val="11"/>
        <color theme="8" tint="-0.249977111117893"/>
        <rFont val="Arial"/>
        <family val="2"/>
      </rPr>
      <t>"Cobro de dádivas por agilización de trámites de las organizaciones de Defensa Civil en beneficio propio o de un tercero"</t>
    </r>
    <r>
      <rPr>
        <sz val="11"/>
        <rFont val="Arial"/>
        <family val="2"/>
      </rPr>
      <t xml:space="preserve">, para verificar su efectividad.
</t>
    </r>
  </si>
  <si>
    <t>Amiguismo</t>
  </si>
  <si>
    <t>Cada vez que llega una solicitud de trámite, la Técnico de Apoyo de la Oficina Jurídica, lo radica en el SISRED, lo cual evidencia el orden de llegada de la solicitud, el trámite es asignado a cualquiera de los abogados de la Oficina para su resolución, la cual también es registrada en el SISRED.  Evidencia SISRED.</t>
  </si>
  <si>
    <t>Presiones de terceros y/o superior jerárquico</t>
  </si>
  <si>
    <t>GESTIÓN HUMANA</t>
  </si>
  <si>
    <t>Falta de fiabilidad de la información previa a la parametrización.</t>
  </si>
  <si>
    <r>
      <rPr>
        <b/>
        <sz val="11"/>
        <color rgb="FFFF0000"/>
        <rFont val="Arial"/>
        <family val="2"/>
      </rPr>
      <t xml:space="preserve">ID 369 - </t>
    </r>
    <r>
      <rPr>
        <sz val="11"/>
        <rFont val="Arial"/>
        <family val="2"/>
      </rPr>
      <t>Manipular la liquidación de la nómina</t>
    </r>
  </si>
  <si>
    <t>Investigaciones de tipo Disciplinario.
Pérdida de credibilidad frente a la entidad e impacto negativo en la imagen institucional.
Desgaste en los procesos administrativos.</t>
  </si>
  <si>
    <t>Cada vez que se requiera el funcionario encargado de liquidar la nómina, envía la información con las respectivas normas a Digital Ware, en ese caso la responsabilidad de verificar la fiabilidad de información  se está trasladando a esta empresa.</t>
  </si>
  <si>
    <t>1. Verificar la parametrización del módulo de nómina cada vez que se realiza una actualización de ésta.
2. Cada mes registrar en el acta de revisión, las inconsistencias en la liquidación de la nómina  y su corrección, en caso que se presenten.</t>
  </si>
  <si>
    <t>1. Cada vez que swe requiera.
2. Mensualmente</t>
  </si>
  <si>
    <t>Jefe Grupo Talento Humano</t>
  </si>
  <si>
    <t>Con respecto al seguimiento del riesgo se evidencio que:
1)  se pregunta con Juan Camilo Jimenez acerca de como se ejecuta este riesgo a lo que indica: "Que en el presente año 2020, no se ha realizado ninguna actualización a la parametrización del módulo de Nomina de Kactus dado que no han sido modificadas las normas que aplicamos para la misma, ahora bien el sistema kactus genera una actualizaciones que el proveedor las llama SERVISPAK, las cuales son aplicadas directamente por esa empresa nosotros cono Defensa Civil Colombiana dentro del contrato suscrito con mencionada empresa se estableció que todas las actualizaciones que se generen por cambios de las normas que aplicamos o los SERVISPAK los realice directamente funcionarios de la empresa DIGITAL WARE." 
2) Las actas en las que se indica que no se ha evidenciado inconsistencia ha sido cargada y firmada por parte de las personas que intervienen en el proceso</t>
  </si>
  <si>
    <t>Falta de verificación de la liquidación de la nómina</t>
  </si>
  <si>
    <t>Cada mes, la liquidación de la pre nómina es revisada por otro funcionario alterno en el proceso, en caso de encontrarse alguna novedad o inconsistencia se corrige inmediatamente.  Se deja como evidencia un acta incluyendo las novedades.</t>
  </si>
  <si>
    <t xml:space="preserve">Alteración de novedades de personal </t>
  </si>
  <si>
    <t>Cada vez que un servidor púbico  reporta una novedad, el funcionario encargado de liquidar la nómina le exige el documento soporte emitido por la entidad competente, en caso de no allegar el documento requerido no se tiene en cuenta la novedad.  Este mismo control se aplica para las entidades que reportan novedades de los servidores público de la entidad.  Evidencia: Soportes de las novedades.</t>
  </si>
  <si>
    <t>Debilidad en el cargue de la información en el aplicativo del manual de funciones.</t>
  </si>
  <si>
    <r>
      <rPr>
        <b/>
        <sz val="11"/>
        <color rgb="FFFF0000"/>
        <rFont val="Arial"/>
        <family val="2"/>
      </rPr>
      <t xml:space="preserve">ID 370 </t>
    </r>
    <r>
      <rPr>
        <sz val="11"/>
        <rFont val="Arial"/>
        <family val="2"/>
      </rPr>
      <t>-Falsificación en las certificaciones laborales con funciones.</t>
    </r>
  </si>
  <si>
    <t>Cada vez que el servidor público requiere una certificación laboral sin funciones, la solicita en el aplicativo Self Service de KACTUS, el cual valida la fecha de ingreso del servidor público, el cargo y datos personales.</t>
  </si>
  <si>
    <t>1. Registrar el manual de funciones en el módulo respectivo de KACTUS</t>
  </si>
  <si>
    <t>Modulo actualizado</t>
  </si>
  <si>
    <t>La OCI evidenció que se inició con el registro del Manual de Funciones en el aplicativo Self Service de KACTUS. Adicionalmente la OCI evidenció que si el servidor público requiere una certificación laboral sin funciones, la solicita en el aplicativo Self Service de KACTUS, el cual valida la fecha de ingreso del servidor público, el cargo y datos personales.
La fecha maxima de cumplimiento estara para ser evaluada en el 3 cuatrimestre del periodo 2020</t>
  </si>
  <si>
    <t>Tráfico de influencias, amiguismo</t>
  </si>
  <si>
    <t xml:space="preserve">Documentación falsa o adulterada.
</t>
  </si>
  <si>
    <r>
      <rPr>
        <b/>
        <sz val="11"/>
        <color rgb="FFFF0000"/>
        <rFont val="Arial"/>
        <family val="2"/>
      </rPr>
      <t>ID 371 -</t>
    </r>
    <r>
      <rPr>
        <sz val="11"/>
        <rFont val="Arial"/>
        <family val="2"/>
      </rPr>
      <t xml:space="preserve"> Recibir y tramitar para el pago del seguro de Vida a personas que no tienen derecho, para beneficio de un tercero.</t>
    </r>
  </si>
  <si>
    <t>Por cada solicitud de trámite de seguro de vida de voluntarios, el funcionario del área del voluntariado verifica que el asegurado se encuentre activo en la Bases de Datos de Voluntarios en el SIM; igualmente verifica la completitud de los documentos soporte requeridos.  Si no se encuentra registrado o los soportes no están completos,  se devuelve la solicitud mediante una comunicación a la seccional/oficina para las correcciones del caso. Evidencia: Solicitud de trámite de seguro y comunicaciones dirigidas a la seccional u oficina.</t>
  </si>
  <si>
    <t>1. Mantener los controles definidos en el trámite</t>
  </si>
  <si>
    <t>Cada vez que llega una solicitud de trámite.</t>
  </si>
  <si>
    <t>Responsable área del voluntariado</t>
  </si>
  <si>
    <t>La OCI verifica con la persona encargada del proceso el metodo que se hace el tramite para los seguros de vida de los voluntarios, se hace el envío de la informacion por parte de la persona y se recomienda que la informacion sea subida al aplicativo Kawak</t>
  </si>
  <si>
    <t xml:space="preserve">
No diligenciamiento del formato de beneficiarios del seguro.</t>
  </si>
  <si>
    <t>Por cada solicitud de inscripción como voluntario de la Defensa Civil , se verifica el diligenciamiento del formato de designación de beneficiarios de seguro antes de crear al voluntario en el SIM, en caso de que el formulario esté mal diligenciado o presente enmendaduras o falta de firmas, se realiza el requerimiento a la seccional/oficina para que requiera al aspirante, en caso contrario, no se realiza la inscripción.</t>
  </si>
  <si>
    <t>El riesgo se transfiere a la aseguradora para la verificación de la legalidad de los documentos soporte.</t>
  </si>
  <si>
    <t>GESTIÓN FINANCIERA</t>
  </si>
  <si>
    <t>Presión de terceros o de un superior jerárquico.</t>
  </si>
  <si>
    <r>
      <rPr>
        <b/>
        <sz val="11"/>
        <color rgb="FFFF0000"/>
        <rFont val="Arial"/>
        <family val="2"/>
      </rPr>
      <t>ID 386 -</t>
    </r>
    <r>
      <rPr>
        <sz val="11"/>
        <rFont val="Arial"/>
        <family val="2"/>
      </rPr>
      <t xml:space="preserve"> Ordenar o efectuar pagos de bienes o servicios sin el lleno de los requisitos legales en beneficio propio o de un tercero</t>
    </r>
  </si>
  <si>
    <t>El funcionario encargado del proceso de ejecución de la etapa contractual cada vez que el supervisor tramita un pago verifica los soportes y diligencia el formato GAD-FT-020 CONTROL DE DOCUMENTOS PARA TRAMITE DE PAGO.  En caso de faltar algún soporte o presentarse observaciones,  le comunica al supervisor para que corrija o tramite lo pertinente con quien corresponda.  Posteriormente, el funcionario  designado del área contable,  revisa nuevamente y confirma el cumplimiento de requisitos para el pago, en caso de presentarse  alguna novedad devuelve el trámite al Grupo Administrativo.  La evidencia queda en el formato y el libro de control de entrega de documentos.</t>
  </si>
  <si>
    <t>En caso de materializarse el riesgo, se aplica el procedimiento disciplinario.</t>
  </si>
  <si>
    <r>
      <t xml:space="preserve">De conformidad con la ubicación de la nueva zona de riesgo (Zona baja), la OCI evidenció que este riesgo no requiere elaborar plan de tratamiento, por tanto en el próximo seguimiento la Oficina de Control Interno evaluará los controles asociados al riesgo </t>
    </r>
    <r>
      <rPr>
        <sz val="11"/>
        <color theme="8" tint="-0.249977111117893"/>
        <rFont val="Arial"/>
        <family val="2"/>
      </rPr>
      <t>"Ordenar o efectuar pagos de bienes o servicios sin el lleno de los requisitos legales en beneficio propio o de un tercero"</t>
    </r>
    <r>
      <rPr>
        <sz val="11"/>
        <rFont val="Arial"/>
        <family val="2"/>
      </rPr>
      <t>, para verificar su efectividad.</t>
    </r>
  </si>
  <si>
    <t>Debilidad en los controles.</t>
  </si>
  <si>
    <r>
      <rPr>
        <b/>
        <sz val="11"/>
        <color rgb="FFFF0000"/>
        <rFont val="Arial"/>
        <family val="2"/>
      </rPr>
      <t>ID 374 -</t>
    </r>
    <r>
      <rPr>
        <sz val="11"/>
        <rFont val="Arial"/>
        <family val="2"/>
      </rPr>
      <t xml:space="preserve"> Utilización de los recursos de caja menor  en bienes o servicios que no están autorizados o para beneficio propio</t>
    </r>
  </si>
  <si>
    <t>Cada vez que se recibe una solicitud de legalización de caja menor, tres funcionarios del Grupo Financiero encargados de revisar el trámite, efectúan revisiones de los documentos de legalización de las cajas menores (factura, conciliación, objeto de gasto y retenciones).  El funcionario que detecte alguna desviación comunica mediante correo electrónico al cuentadante para que proceda a la corrección, lo cual queda como evidencia.  Si persiste la desviación, no se le reconoce el gasto.</t>
  </si>
  <si>
    <t>1. Verificar aleatoriamente con proveedores la legalidad de los soportes de caja menor.</t>
  </si>
  <si>
    <t xml:space="preserve">Mensualmente
</t>
  </si>
  <si>
    <t>Jefe Grupo Financiero</t>
  </si>
  <si>
    <t xml:space="preserve">La OCI evidenció que se hizo una conciliacion mensual de las 29 seccionales de la DCC, en el archivo adjunto se verifica las inconsistencias  encontradas. En el area del grupo financiero tienen clasificada la informacion a mayor detalle. </t>
  </si>
  <si>
    <t>Desconocimiento de los lineamientos establecidos en la norma que regula la caja menor.</t>
  </si>
  <si>
    <t>GESTION DE ADQUISICIONES</t>
  </si>
  <si>
    <t>Abuso de poder</t>
  </si>
  <si>
    <r>
      <rPr>
        <b/>
        <sz val="11"/>
        <color rgb="FFFF0000"/>
        <rFont val="Arial"/>
        <family val="2"/>
      </rPr>
      <t>ID 375 -</t>
    </r>
    <r>
      <rPr>
        <sz val="11"/>
        <rFont val="Arial"/>
        <family val="2"/>
      </rPr>
      <t xml:space="preserve"> Omisión del estatuto general de la contratación y sus normas complementarias en las diferentes etapas del proceso de contratación.</t>
    </r>
  </si>
  <si>
    <t>Cuando el Director General lo establece, la asesora de contratación de la Dirección General revisa las fichas técnicas y estudios previos para la adquisición de un bien o servicio, en caso de alguna observación se devuelven los documentos para las correcciones del caso.</t>
  </si>
  <si>
    <t xml:space="preserve">1. Realizar y documentar una inspección mensual aleatoriamente a los procesos de contratación publicados en el SECOP 2
</t>
  </si>
  <si>
    <t>Jefe Grupo Administrativo</t>
  </si>
  <si>
    <t>Se valido la informacion en Kawak el seguimiento que se realiza por parte del area administrativa y el proceso de contratacion por medio del aplicativo SECOP  II, y se evidencia que hay una inspeccion fisica de un contrato</t>
  </si>
  <si>
    <t xml:space="preserve">Intereses particulares </t>
  </si>
  <si>
    <t>El funcionario de la etapa precontractual del Grupo administrativo, cada vez que recibe una ficha técnica, realiza la revisión respectiva.  En caso de presentarse observaciones o inconsistencias, se devuelve por escrito al funcionario que presentó la ficha técnica.</t>
  </si>
  <si>
    <t>Cada vez que se realiza la evaluación de un proceso contractual, interviene tres comités: Técnico, Jurídico y Financiero.  En cada caso se solicitan subsanaciones a los proveedores con el fin de garantizar el cumplimiento de requisitos del pliego de condiciones, en caso de no subsanar, el proveedor no continua en el proceso.  Para la adjudicación, se conforma un comité asesor que conoce las evaluaciones para recomendar su adjudicación o no al ordenador del gasto.  Las evaluaciones, actas y actos administrativo son  evidencias que se publican en el SECOP 2.</t>
  </si>
  <si>
    <t>Desconocimiento de las funciones de los supervisores asignados a los procesos.</t>
  </si>
  <si>
    <r>
      <rPr>
        <b/>
        <sz val="11"/>
        <color rgb="FFFF0000"/>
        <rFont val="Arial"/>
        <family val="2"/>
      </rPr>
      <t xml:space="preserve">ID 376 - </t>
    </r>
    <r>
      <rPr>
        <sz val="11"/>
        <rFont val="Arial"/>
        <family val="2"/>
      </rPr>
      <t>No reportar incumplimiento parcial o total de conformidad con las normas legales en la ejecución de un contrato por parte del supervisor o interventor.</t>
    </r>
  </si>
  <si>
    <t>Investigaciones de tipo Disciplinario, Penal o Fiscal.</t>
  </si>
  <si>
    <t>Por cada contrato, el funcionario designado del Grupo Administrativo, notifica  las funciones al supervisor, las cuales se evalúan mediante el formato diseñado para tal fin.  En caso de alguna observación desfavorable, se comunica al supervisor. Evidencia: Correo electrónico dirigido al supervisor y evaluación.</t>
  </si>
  <si>
    <t xml:space="preserve">
1. Realizar una capacitación a los supervisores , con énfasis en sus funciones y las implicaciones disciplinarias.
2. Incluir en el Formato GAD-FT-005 INFORME FINAL DE  SUPERVISIÓN,  la evaluación a los proveedores para obtener una calificación objetiva.
</t>
  </si>
  <si>
    <t>Se hace seguimiento al control por medio de KAWAK y se evidencia que la informacion fue subida tarde ya que deberia estar para el mes de junio pero se realizo en el mes de agosto, la evidencia de la capacion esta en KAWAK, adicional se incluyo en el formato la evaluacion de los proveedores</t>
  </si>
  <si>
    <t>Descuido u olvido de los supervisores.</t>
  </si>
  <si>
    <t>En funcionario encargado de la etapa pos contractual realiza mensualmente un seguimiento a los supervisores, en caso de encontrar faltas a sus obligaciones, lo requiere para que de cumplimiento, de lo contrario no se puede adelantar el trámite de pagos.  Evidencia: comunicaciones al supervisor.</t>
  </si>
  <si>
    <t>Para cada pago tramitado, el funcionario encargado del trámite pos contractual exige un informe suscrito por el supervisor  y los respectivos soportes que demuestren la conformidad del bien o servicio adquirido.  En caso de no cumplir con estos documentos no se tramita el pago.  Evidencias: Requerimientos al supervisor</t>
  </si>
  <si>
    <t>Desconocimiento de los procedimientos de contratación</t>
  </si>
  <si>
    <t>GESTION LOGISTICA</t>
  </si>
  <si>
    <t>Falta de verificación objetiva y detallada en la actualización del inventarios</t>
  </si>
  <si>
    <r>
      <rPr>
        <b/>
        <sz val="11"/>
        <color rgb="FFFF0000"/>
        <rFont val="Arial"/>
        <family val="2"/>
      </rPr>
      <t>ID 377 -</t>
    </r>
    <r>
      <rPr>
        <b/>
        <sz val="11"/>
        <rFont val="Arial"/>
        <family val="2"/>
      </rPr>
      <t xml:space="preserve"> </t>
    </r>
    <r>
      <rPr>
        <sz val="11"/>
        <rFont val="Arial"/>
        <family val="2"/>
      </rPr>
      <t>Omisión de reportes de novedades de pérdidas o ingresos de bienes en el inventario durante la actualización de cargos en beneficio de un tercero</t>
    </r>
  </si>
  <si>
    <t>Investigaciones de tipo Disciplinario, Penal o Fiscal.
Pérdida de credibilidad frente a la entidad e impacto negativo en la imagen institucional.
Afectación a la fiabilidad de los estados Financieros de vigencias anteriores.</t>
  </si>
  <si>
    <t>Probable</t>
  </si>
  <si>
    <t>El Jefe del Grupo de Almacén cada año programa por lo menos 4 visitas de verificación de inventarios a seccionales u oficinas de departamento, en la cual verifica el 100% de los inventarios físicos de todas las áreas de la dependencia, igualmente se verifica el inventario documental.  En caso de encontrar diferencias se realiza la trazabilidad y  si es pertinente se ajustan los inventarios, de lo contrario se declara el faltante y el responsable del bien procede de acuerdo con el procedimiento de pérdida de bienes.  Como evidencia se elabora un informe de la visita de verificación realizada.</t>
  </si>
  <si>
    <t xml:space="preserve">1. Ejecutar auditorías detalladas y focalizadas en la verificación de los bienes.
2. Realizar y documentar al menos una conciliación entre procesos administrativos, seguros y almacén.
</t>
  </si>
  <si>
    <t>Jefe Grupo Almacén</t>
  </si>
  <si>
    <t>Se procede a revisar correo de respuesta  por parte de Olga Tocarruncho, que es la jefe de almacen y la informacion esta correcta, se indica que se debe poder actualizar la informacion en el KAWAK</t>
  </si>
  <si>
    <t>Falta de control por parte del responsable del inventario</t>
  </si>
  <si>
    <t>El responsable del inventario de seccionales u oficinas, cada semestre verifica el inventario de cargos contra el inventario físico, en caso de encontrar novedades la reporta en la actualización de cargos al Grupo de Almacén.  Como evidencia, el responsable debe refrendar el inventario y enviarlo en físico al Grupo de Almacén.</t>
  </si>
  <si>
    <t>Desconocimiento de los procedimientos establecidos por la entidad.</t>
  </si>
  <si>
    <t>Deficiente control en los costos de operación de los vehículos</t>
  </si>
  <si>
    <r>
      <rPr>
        <b/>
        <sz val="11"/>
        <color rgb="FFFF0000"/>
        <rFont val="Arial"/>
        <family val="2"/>
      </rPr>
      <t>ID 378 -</t>
    </r>
    <r>
      <rPr>
        <sz val="11"/>
        <rFont val="Arial"/>
        <family val="2"/>
      </rPr>
      <t xml:space="preserve"> Uso indebido y destinación diferente de los vehículos de la entidad</t>
    </r>
  </si>
  <si>
    <t>Cada trimestre, el funcionario designado del Grupo de Administración de Servicios selecciona aleatoriamente 4 seccionales para comparar los costos reflejados en caja Menor frente a los costos de costos de rodamiento en el SIM.  Si se encuentran diferencias se notifica a la respectiva seccional para que efectúe el cargue correspondiente en el SIM.  Evidencia: Comunicaciones a las seccionales.</t>
  </si>
  <si>
    <t>1. Elaborar una circular con lineamientos para evitar el uso indebido de los vehículos.
2. Elaborar y enviar 2 tips para recordar el cumplimiento de la circular sobre el uso indebido de los vehículos.</t>
  </si>
  <si>
    <t>1. 30/03/2020
2. 30/06/2020 y 30/09/2020</t>
  </si>
  <si>
    <t xml:space="preserve">Jefe Grupo Administración de Servicios </t>
  </si>
  <si>
    <t xml:space="preserve">
2. La OCI evienció que la actividad No. 2. fue ejecutada el dia 19 de mayo, en la cual se envio un correo a todas las seccionales sobre el uso adecuado de los vehiculos institucionales</t>
  </si>
  <si>
    <t>Deficiente control en el consumo de combustible de los vehículos</t>
  </si>
  <si>
    <t>El administrador de transportes, mensualmente verifica la plataforma de combustible suministrada por el Estación de Servicio (EDS), verificando que el consumo corresponda al kilometraje efectuado por el vehículo.  En caso de evidenciar  consumo excesivo de combustible,  notifica al Jefe del Grupo, quien llama a la persona que tiene asignado el vehículo para que explique el motivo de las diferencias encontradas. Evidencia: la plataforma de combustible.
Verificación del consumo de combustible a través del Chip para los vehículos de la DIGER y Escuelas</t>
  </si>
  <si>
    <t>Designación de responsabilidades inadecuadas para el uso de vehículos institucionales.</t>
  </si>
  <si>
    <t>Cada vez que un servidor púbico  de la DIGER requiere un servicio de transporte institucional, diligencia la solicitud de servicio indicando el destino.  Igualmente si el vehículo sale fuera de la sede principal, el Administrador de transportes diligencia la orden de marcha y traza la ruta, lo cual permite calcular el consumo de combustible. Evidencia: Solicitud de servicio y orden de marcha.</t>
  </si>
  <si>
    <t>Falta de control en el acceso a los sistemas de información.</t>
  </si>
  <si>
    <r>
      <rPr>
        <b/>
        <sz val="11"/>
        <color rgb="FFFF0000"/>
        <rFont val="Arial"/>
        <family val="2"/>
      </rPr>
      <t>ID 379 -</t>
    </r>
    <r>
      <rPr>
        <sz val="11"/>
        <rFont val="Arial"/>
        <family val="2"/>
      </rPr>
      <t xml:space="preserve"> Acceso a los sistemas de información  para obtener beneficios personales.</t>
    </r>
  </si>
  <si>
    <t xml:space="preserve">Pérdida de información 
Consecuencias de tipo legal
Violación a los sistemas de seguridad </t>
  </si>
  <si>
    <t>Anualmente, la encargada de la seguridad digital de la Oficina Asesora de las TIC, realiza un bloqueo general de sitios WEB potencialmente peligrosos, en caso de que un funcionario requiera ingreso a dicho sitio, debe solicitarlo a través del Jefe de la Dependencia y la Oficina de TIC analiza la viabilidad de habilitar el acceso solicitado.  Evidencia: Parametrización de políticas del Firewall, correos electrónicos.</t>
  </si>
  <si>
    <t>1. Implementación de la segunda fase del directorio activo.
2 Aplicar la encuesta de evaluación de la implementación de la política de seguridad informática</t>
  </si>
  <si>
    <t>Técnico de Servicios de la Oficina Asesora de las TIC</t>
  </si>
  <si>
    <t>Directorio activo implementado en DIGER</t>
  </si>
  <si>
    <t>1. La OCI evidenció Ficha Técnica - Propuesta para la implementación de la segunda fase del directorio activo.
2. Para el periodo evaluado no aplica la encuesta de evaluación, toda vez que el formato está en modificación para las Seccionales, Oficinas de Defensa Civil y Dirección General 2020.</t>
  </si>
  <si>
    <t xml:space="preserve">100%
</t>
  </si>
  <si>
    <t>Debilidad en la aplicación de la política de seguridad informática.</t>
  </si>
  <si>
    <t>Anualmente se envía a todos los funcionarios una encuesta de verificación de la implementación de la política de seguridad informática, para evaluar su aplicación.  El resultado de esta evaluación se emplea como insumo de los indicadores de gestión de las seccionales en materia de seguridad informática. Evidencia: Encuestas, correos electrónicos y evaluación de indicadores.</t>
  </si>
  <si>
    <t>Al menos una vez al año, la funcionaria encargada de la seguridad digital, analiza el reporte del antivirus para determinar vulnerabilidades al SI, si se encuentran potenciales riesgos, se analiza el nivel de criticidad y se determina si esa dirección representa una falsa alarma, en caso contrario, se mantiene el bloqueo.  Evidencia: Reporte de antivirus.</t>
  </si>
  <si>
    <t>SEGUIMIENTO A LA GESTION</t>
  </si>
  <si>
    <t>Inadecuada evaluación de indicadores</t>
  </si>
  <si>
    <r>
      <rPr>
        <b/>
        <sz val="11"/>
        <color rgb="FFFF0000"/>
        <rFont val="Arial"/>
        <family val="2"/>
      </rPr>
      <t>ID 380 -</t>
    </r>
    <r>
      <rPr>
        <sz val="11"/>
        <rFont val="Arial"/>
        <family val="2"/>
      </rPr>
      <t xml:space="preserve"> Permitir  mayores valores en los indicadores de resultado de las metas de las seccionales,  para generar puntajes mas altos en la evaluación de desempeño.</t>
    </r>
  </si>
  <si>
    <t xml:space="preserve">Investigaciones de tipo Disciplinario, Penal o Fiscal.
</t>
  </si>
  <si>
    <t xml:space="preserve">Semestralmente, la Jefe de la Oficina Asesora de Planeación solicita a las dependencias la medición de los indicadores de gestión de las seccionales con el fin de compararlos con los indicadores de su respectiva evaluación del plan de acción.  En caso de encontrar diferencias, se profundiza con las evidencias presentadas o mediante indagación con los demás dueños de procesos, de no ser posible aclarar la medición,  no se evalúa el indicador.  Evidencias: Formato de Indicadores, rendiciones de cuentas, evaluación de desempeño. </t>
  </si>
  <si>
    <t xml:space="preserve">1. Realizar dos mediciones en el año de los indicadores de las Seccionales, con el concurso de los dueños de los procesos.  </t>
  </si>
  <si>
    <t>1. Definición y concertación anual de los indicadores de evaluación en los acuerdos de gestión.</t>
  </si>
  <si>
    <t xml:space="preserve">El control evidencia que semestralmente se debe estar solicitando a la dependencias la medicion de indicadores de gestion de las seccionales y compararlos con los de su evaluacion del plan de accion.  En el aplicatico KAWAK se hace la verificacion en el que la persona encargada hace el envio de los soportes a la direccion general. </t>
  </si>
  <si>
    <t>Falta de evidencias de las acciones ejecutadas</t>
  </si>
  <si>
    <t>2. Solicitud de Rendición de cuentas interna con presentación de evidencias cada semestre</t>
  </si>
  <si>
    <t>CONTROL INTERNO</t>
  </si>
  <si>
    <t>Debilidades en la retroalimentación de los resultados de la auditoría de gestión a los auditados.</t>
  </si>
  <si>
    <r>
      <rPr>
        <b/>
        <sz val="11"/>
        <color rgb="FFFF0000"/>
        <rFont val="Arial"/>
        <family val="2"/>
      </rPr>
      <t xml:space="preserve">ID 381 - </t>
    </r>
    <r>
      <rPr>
        <sz val="11"/>
        <rFont val="Arial"/>
        <family val="2"/>
      </rPr>
      <t>Fraude en los resultados obtenidos en el ejercicio auditor en beneficio propio o de un tercero.</t>
    </r>
  </si>
  <si>
    <t>Afectación negativa en la imagen reputacional de la OCI.
Sanciones e investigaciones</t>
  </si>
  <si>
    <t>Al finalizar la auditoría de gestión, el auditor designado retroalimenta al auditado los resultados de la auditoría.  En caso de no contar oportunamente con las evidencias suficientes, competentes y objetivas, se advierte que el proceso auditor continúa hasta la emisión del informe final. Como evidencia queda la presentación y los correos mediante el cual envían evidencias adicionales.</t>
  </si>
  <si>
    <t>1. Realizar la retroalimentación de resultados con líderes de procesos previo al informe final de todas las auditorías de gestión.
2.  Realizar el seguimiento a todos los informes de auditoría previo al informe final.
3. Ejecución de la campaña para incrementar la cultura del autocontrol</t>
  </si>
  <si>
    <t>Jefe Oficina Control Interno</t>
  </si>
  <si>
    <t>1. La Oficina de Control Interno realizó retroalimentación de resultados con líderes de procesos previo al informe final de las auditorías desarrolladas durante el periodo evaluado.
2. El Jefe de la Oficina de Control Interno realizó seguimiento a todos los informes de auditoría previo al informe final.
3. La ejecución de las actividades de la campaña para incrementar la cultura de autocontrol están a partir del II semestre de 2020.
----------------------------------------------
1) Se esta a la espera de la firma de la retroalimentacion que se le hace a los lideres de proceso. Hasta el momento se ha auditado los procesos de:-----
2) El jefe de OCI, enviara los correos donde se ha hecho la retoalimentacion de los informes de auditoria,
3) se procede a hacer esta gestion el dia 31  de agosto con todas las seccionales</t>
  </si>
  <si>
    <t>Falta de independencia del equipo auditor.</t>
  </si>
  <si>
    <t>Cada vez que se termina una auditoría de gestión, el auditor designado comunica los resultados obtenidos en cada uno de los componentes evaluados al Jefe de la OCI, los cuales están consignados en el informe,  en caso de encontrar alguna inconsistencia, el Jefe de la OCI retroalimenta al auditor.  Como evidencia queda la planilla suscrita entre el jefe de la OCI y el auditado.</t>
  </si>
  <si>
    <t>Ausencia de moralidad en el auditor.</t>
  </si>
  <si>
    <r>
      <rPr>
        <b/>
        <sz val="11"/>
        <color rgb="FFFF0000"/>
        <rFont val="Arial"/>
        <family val="2"/>
      </rPr>
      <t>ID 382 -</t>
    </r>
    <r>
      <rPr>
        <sz val="11"/>
        <rFont val="Arial"/>
        <family val="2"/>
      </rPr>
      <t xml:space="preserve"> Omitir las investigaciones por responsabilidad administrativa por pérdida o daño de bienes de propiedad de la Entidad.</t>
    </r>
  </si>
  <si>
    <t>1. Detrimento patrimonial
2. Investigación disciplinaria o fiscal.</t>
  </si>
  <si>
    <t>Desarrollo del proceso de acuerdo con un procedimiento establecido y aprobado.</t>
  </si>
  <si>
    <t>1. Realizar mensualmente el cruce con el área de seguros.
2. Realizar una conciliación trimestral con el Grupo de Almacén para el ajuste de los inventarios.</t>
  </si>
  <si>
    <t>1. 31/12/2020</t>
  </si>
  <si>
    <t>Responsable procesos administrativos</t>
  </si>
  <si>
    <t>La OCI verifica que en el aplicativo KAWAK estan las actas mensuales correspondientes al curce con el area de seguros, 
Igualmente se evidencia dos conciliaciones trimestrales con el grupo de almacen para el ajuste de los inventarios.</t>
  </si>
  <si>
    <t>Falta de controles en el procedimiento</t>
  </si>
  <si>
    <t>Registro  de los informes por pérdida en un cuadro de control para conciliaciones</t>
  </si>
  <si>
    <t>Omisión de comunicación de la pérdida o daño.</t>
  </si>
  <si>
    <t>Cruce de información con el responsable de los seguros de la Entidad.</t>
  </si>
  <si>
    <t>Iniciar la investigación administrativa de oficio cuando se detecta un daño o pérdida de un bien fiscal que no fue informado</t>
  </si>
  <si>
    <t xml:space="preserve">Amiguismo
</t>
  </si>
  <si>
    <r>
      <rPr>
        <b/>
        <sz val="11"/>
        <color rgb="FFFF0000"/>
        <rFont val="Arial"/>
        <family val="2"/>
      </rPr>
      <t xml:space="preserve">ID 383 </t>
    </r>
    <r>
      <rPr>
        <sz val="11"/>
        <rFont val="Arial"/>
        <family val="2"/>
      </rPr>
      <t>- Archivar una investigación disciplinaria cuando existan elementos probatorios que demuestren la falta disciplinaria de un servidor público.</t>
    </r>
  </si>
  <si>
    <t>1. Investigaciones de tipo  Disciplinario, Penal o Fiscal.
2. Pérdida de credibilidad frente a la entidad e impacto negativo en la imagen institucional.</t>
  </si>
  <si>
    <t xml:space="preserve">1. Hacer uso de los medio legales cuando se denote impedimento o inhabilidad para el manejo de la investigación.  </t>
  </si>
  <si>
    <t>1.  Elaborar anualmente un documento donde cada funcionario de la Oficina de Disciplinarios se compromete a preservar la reserva sumarial de las actuaciones disciplinarias; acción condicionada al ingreso de un nuevo funcionario
2. Actualizar semanalmente el cuadro control de  los expedientes</t>
  </si>
  <si>
    <t>1. Anualmente y cuando ingrese un nuevo servidor público
2.  Semanalmente hasta el 31/12/2020</t>
  </si>
  <si>
    <t>Jefe Oficina de Control Interno Disciplinarios</t>
  </si>
  <si>
    <t>1, La OCI evidenció formato pacto de confidencialidad firmado por los funcionarios de la Oficina de Control Interno Disciplinario.
2. La Oficina de Control Internho Disciplinario, semanalmente diligencia cuadro control de  los expedientes que maneja la oficina, no obstante por ser información confidencial tiene reserva y no se adjunta en Kawak.</t>
  </si>
  <si>
    <t>Influencia de un superior jerárquico</t>
  </si>
  <si>
    <t>2. Practica de pruebas decretadas en los autos emitidos por la Oficina</t>
  </si>
  <si>
    <t>Presiones externas o internas al proceso</t>
  </si>
  <si>
    <t xml:space="preserve">3. Manifestación expresa de la imparcialidad en el manejo de las investigaciones disciplinarias garantizado la doble instancia y el principio del juez natural. </t>
  </si>
  <si>
    <t>Omisión de controles</t>
  </si>
  <si>
    <t>4. Control de los expedientes haciendo verificación de los mismos y cuadro de seguimiento para evitar el vencimiento de términos  mediante la actualización permanente  de la bases de datos.</t>
  </si>
  <si>
    <t xml:space="preserve">La OCI evidenció que la actividad se ejecuto en el 2do cuatrimestre,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</si>
</sst>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quot;$&quot;\ #,##0"/>
    <numFmt numFmtId="167" formatCode="_ &quot;$&quot;\ * #,##0.00_ ;_ &quot;$&quot;\ * \-#,##0.00_ ;_ &quot;$&quot;\ * &quot;-&quot;??_ ;_ @_ "/>
    <numFmt numFmtId="168" formatCode="dd/mm/yyyy;@"/>
  </numFmts>
  <fonts count="35" x14ac:knownFonts="1">
    <font>
      <sz val="11"/>
      <color theme="1"/>
      <name val="Calibri"/>
      <family val="2"/>
      <scheme val="minor"/>
    </font>
    <font>
      <sz val="11"/>
      <color theme="1"/>
      <name val="Calibri"/>
      <family val="2"/>
      <scheme val="minor"/>
    </font>
    <font>
      <sz val="10"/>
      <name val="Arial"/>
      <family val="2"/>
    </font>
    <font>
      <b/>
      <sz val="10"/>
      <color indexed="8"/>
      <name val="Arial"/>
      <family val="2"/>
    </font>
    <font>
      <b/>
      <sz val="12"/>
      <color indexed="8"/>
      <name val="Arial"/>
      <family val="2"/>
    </font>
    <font>
      <b/>
      <sz val="11"/>
      <color indexed="8"/>
      <name val="Arial"/>
      <family val="2"/>
    </font>
    <font>
      <sz val="10"/>
      <color indexed="8"/>
      <name val="Arial Narrow"/>
      <family val="2"/>
    </font>
    <font>
      <b/>
      <sz val="10"/>
      <name val="Arial"/>
      <family val="2"/>
    </font>
    <font>
      <b/>
      <sz val="10"/>
      <color rgb="FFFF0000"/>
      <name val="Arial"/>
      <family val="2"/>
    </font>
    <font>
      <b/>
      <sz val="11"/>
      <color theme="0"/>
      <name val="Arial"/>
      <family val="2"/>
    </font>
    <font>
      <b/>
      <sz val="9"/>
      <color theme="0"/>
      <name val="Arial"/>
      <family val="2"/>
    </font>
    <font>
      <b/>
      <sz val="10"/>
      <color theme="0"/>
      <name val="Arial"/>
      <family val="2"/>
    </font>
    <font>
      <sz val="12"/>
      <name val="Arial"/>
      <family val="2"/>
    </font>
    <font>
      <sz val="10"/>
      <color theme="1"/>
      <name val="Arial"/>
      <family val="2"/>
    </font>
    <font>
      <sz val="10"/>
      <color rgb="FFFF0000"/>
      <name val="Arial"/>
      <family val="2"/>
    </font>
    <font>
      <b/>
      <sz val="8"/>
      <color indexed="81"/>
      <name val="Tahoma"/>
      <family val="2"/>
    </font>
    <font>
      <sz val="8"/>
      <color indexed="81"/>
      <name val="Tahoma"/>
      <family val="2"/>
    </font>
    <font>
      <sz val="12"/>
      <color indexed="8"/>
      <name val="Franklin Gothic Book"/>
      <family val="2"/>
    </font>
    <font>
      <b/>
      <sz val="18"/>
      <name val="Arial"/>
      <family val="2"/>
    </font>
    <font>
      <b/>
      <sz val="13"/>
      <name val="Arial"/>
      <family val="2"/>
    </font>
    <font>
      <b/>
      <sz val="12"/>
      <name val="Arial"/>
      <family val="2"/>
    </font>
    <font>
      <b/>
      <sz val="11"/>
      <name val="Arial"/>
      <family val="2"/>
    </font>
    <font>
      <sz val="11"/>
      <name val="Arial"/>
      <family val="2"/>
    </font>
    <font>
      <b/>
      <sz val="11"/>
      <color indexed="8"/>
      <name val="Calibri"/>
      <family val="2"/>
    </font>
    <font>
      <b/>
      <sz val="22"/>
      <name val="Arial"/>
      <family val="2"/>
    </font>
    <font>
      <b/>
      <sz val="8"/>
      <name val="Arial"/>
      <family val="2"/>
    </font>
    <font>
      <b/>
      <sz val="11"/>
      <color rgb="FF000000"/>
      <name val="Arial"/>
      <family val="2"/>
    </font>
    <font>
      <b/>
      <sz val="12"/>
      <color theme="0"/>
      <name val="Arial"/>
      <family val="2"/>
    </font>
    <font>
      <b/>
      <sz val="11"/>
      <color rgb="FFFF0000"/>
      <name val="Arial"/>
      <family val="2"/>
    </font>
    <font>
      <sz val="11"/>
      <color theme="1"/>
      <name val="Arial"/>
      <family val="2"/>
    </font>
    <font>
      <sz val="9"/>
      <name val="Arial"/>
      <family val="2"/>
    </font>
    <font>
      <sz val="11"/>
      <color rgb="FFFF0000"/>
      <name val="Arial"/>
      <family val="2"/>
    </font>
    <font>
      <sz val="11"/>
      <color theme="8" tint="-0.249977111117893"/>
      <name val="Arial"/>
      <family val="2"/>
    </font>
    <font>
      <b/>
      <sz val="11"/>
      <color indexed="81"/>
      <name val="Arial"/>
      <family val="2"/>
    </font>
    <font>
      <b/>
      <sz val="9"/>
      <color indexed="81"/>
      <name val="Tahoma"/>
      <family val="2"/>
    </font>
  </fonts>
  <fills count="25">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indexed="49"/>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bgColor indexed="64"/>
      </patternFill>
    </fill>
    <fill>
      <patternFill patternType="solid">
        <fgColor theme="8" tint="-0.249977111117893"/>
        <bgColor indexed="64"/>
      </patternFill>
    </fill>
    <fill>
      <patternFill patternType="solid">
        <fgColor theme="3" tint="0.59999389629810485"/>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s>
  <cellStyleXfs count="12">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0" fontId="17" fillId="0" borderId="0"/>
    <xf numFmtId="9" fontId="1" fillId="0" borderId="0" applyFont="0" applyFill="0" applyBorder="0" applyAlignment="0" applyProtection="0"/>
  </cellStyleXfs>
  <cellXfs count="600">
    <xf numFmtId="0" fontId="0" fillId="0" borderId="0" xfId="0"/>
    <xf numFmtId="0" fontId="2" fillId="0" borderId="0" xfId="2" applyFont="1" applyFill="1" applyBorder="1" applyAlignment="1">
      <alignment vertical="center" wrapText="1"/>
    </xf>
    <xf numFmtId="0" fontId="2" fillId="0" borderId="0" xfId="2" applyFont="1" applyBorder="1" applyAlignment="1">
      <alignment vertical="center" wrapText="1"/>
    </xf>
    <xf numFmtId="0" fontId="5" fillId="2" borderId="11"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0" xfId="2" applyFont="1" applyBorder="1" applyAlignment="1">
      <alignment horizontal="center" vertical="center"/>
    </xf>
    <xf numFmtId="0" fontId="7" fillId="4" borderId="15"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7" fillId="5" borderId="15" xfId="2" quotePrefix="1" applyFont="1" applyFill="1" applyBorder="1" applyAlignment="1">
      <alignment horizontal="center" vertical="center" wrapText="1"/>
    </xf>
    <xf numFmtId="165" fontId="7" fillId="6" borderId="15" xfId="4" applyNumberFormat="1" applyFont="1" applyFill="1" applyBorder="1" applyAlignment="1">
      <alignment horizontal="center" vertical="center" wrapText="1"/>
    </xf>
    <xf numFmtId="0" fontId="7" fillId="4" borderId="19" xfId="2" quotePrefix="1" applyFont="1" applyFill="1" applyBorder="1" applyAlignment="1">
      <alignment horizontal="center" vertical="center" wrapText="1"/>
    </xf>
    <xf numFmtId="0" fontId="7" fillId="4" borderId="19" xfId="2" applyFont="1" applyFill="1" applyBorder="1" applyAlignment="1">
      <alignment horizontal="center" vertical="center" wrapText="1"/>
    </xf>
    <xf numFmtId="0" fontId="7" fillId="5" borderId="21" xfId="2" quotePrefix="1" applyFont="1" applyFill="1" applyBorder="1" applyAlignment="1">
      <alignment horizontal="center" vertical="center" wrapText="1"/>
    </xf>
    <xf numFmtId="0" fontId="7" fillId="5" borderId="21" xfId="2" applyFont="1" applyFill="1" applyBorder="1" applyAlignment="1">
      <alignment horizontal="center" vertical="center" wrapText="1"/>
    </xf>
    <xf numFmtId="165" fontId="7" fillId="6" borderId="19" xfId="4" applyNumberFormat="1" applyFont="1" applyFill="1" applyBorder="1" applyAlignment="1">
      <alignment horizontal="center" vertical="center" wrapText="1"/>
    </xf>
    <xf numFmtId="165" fontId="10" fillId="7" borderId="22" xfId="5" applyNumberFormat="1" applyFont="1" applyFill="1" applyBorder="1" applyAlignment="1">
      <alignment horizontal="center" vertical="center" wrapText="1"/>
    </xf>
    <xf numFmtId="165" fontId="10" fillId="7" borderId="23" xfId="5" applyNumberFormat="1" applyFont="1" applyFill="1" applyBorder="1" applyAlignment="1">
      <alignment horizontal="center" vertical="center" wrapText="1"/>
    </xf>
    <xf numFmtId="165" fontId="10" fillId="8" borderId="23" xfId="5" applyNumberFormat="1" applyFont="1" applyFill="1" applyBorder="1" applyAlignment="1">
      <alignment horizontal="center" vertical="center" wrapText="1"/>
    </xf>
    <xf numFmtId="165" fontId="10" fillId="9" borderId="23" xfId="5" applyNumberFormat="1" applyFont="1" applyFill="1" applyBorder="1" applyAlignment="1">
      <alignment horizontal="center" vertical="center" wrapText="1"/>
    </xf>
    <xf numFmtId="165" fontId="10" fillId="9" borderId="2" xfId="5" applyNumberFormat="1" applyFont="1" applyFill="1" applyBorder="1" applyAlignment="1">
      <alignment horizontal="center" vertical="center" wrapText="1"/>
    </xf>
    <xf numFmtId="165" fontId="10" fillId="7" borderId="19" xfId="5" applyNumberFormat="1" applyFont="1" applyFill="1" applyBorder="1" applyAlignment="1">
      <alignment horizontal="center" vertical="center" wrapText="1"/>
    </xf>
    <xf numFmtId="0" fontId="11" fillId="7" borderId="19" xfId="2" applyFont="1" applyFill="1" applyBorder="1" applyAlignment="1">
      <alignment horizontal="center" vertical="center"/>
    </xf>
    <xf numFmtId="0" fontId="2" fillId="10" borderId="24" xfId="6" applyFont="1" applyFill="1" applyBorder="1" applyAlignment="1" applyProtection="1">
      <alignment horizontal="left" vertical="center" wrapText="1"/>
      <protection locked="0"/>
    </xf>
    <xf numFmtId="0" fontId="2" fillId="10" borderId="24" xfId="6" applyFont="1" applyFill="1" applyBorder="1" applyAlignment="1" applyProtection="1">
      <alignment horizontal="center" vertical="center" wrapText="1"/>
      <protection locked="0"/>
    </xf>
    <xf numFmtId="9" fontId="2" fillId="10" borderId="24" xfId="7" applyNumberFormat="1" applyFont="1" applyFill="1" applyBorder="1" applyAlignment="1" applyProtection="1">
      <alignment horizontal="center" vertical="center" wrapText="1"/>
      <protection locked="0"/>
    </xf>
    <xf numFmtId="0" fontId="2" fillId="10" borderId="24" xfId="2" applyFont="1" applyFill="1" applyBorder="1" applyAlignment="1">
      <alignment horizontal="center" vertical="center"/>
    </xf>
    <xf numFmtId="9" fontId="2" fillId="11" borderId="1" xfId="7" applyFont="1" applyFill="1" applyBorder="1" applyAlignment="1">
      <alignment horizontal="right" vertical="center" wrapText="1"/>
    </xf>
    <xf numFmtId="9" fontId="2" fillId="10" borderId="24" xfId="7" applyFont="1" applyFill="1" applyBorder="1" applyAlignment="1">
      <alignment horizontal="right" vertical="center" wrapText="1"/>
    </xf>
    <xf numFmtId="9" fontId="2" fillId="10" borderId="25" xfId="7" applyNumberFormat="1" applyFont="1" applyFill="1" applyBorder="1" applyAlignment="1">
      <alignment vertical="center"/>
    </xf>
    <xf numFmtId="9" fontId="2" fillId="10" borderId="1" xfId="7" applyFont="1" applyFill="1" applyBorder="1" applyAlignment="1">
      <alignment horizontal="right" vertical="center" wrapText="1"/>
    </xf>
    <xf numFmtId="9" fontId="2" fillId="10" borderId="26" xfId="7" applyNumberFormat="1" applyFont="1" applyFill="1" applyBorder="1" applyAlignment="1">
      <alignment vertical="center"/>
    </xf>
    <xf numFmtId="0" fontId="2" fillId="10" borderId="24" xfId="2" applyFont="1" applyFill="1" applyBorder="1" applyAlignment="1">
      <alignment vertical="center" wrapText="1"/>
    </xf>
    <xf numFmtId="0" fontId="2" fillId="10" borderId="0" xfId="2" applyFont="1" applyFill="1" applyBorder="1" applyAlignment="1">
      <alignment vertical="center"/>
    </xf>
    <xf numFmtId="0" fontId="2" fillId="10" borderId="11" xfId="6" applyFont="1" applyFill="1" applyBorder="1" applyAlignment="1" applyProtection="1">
      <alignment horizontal="justify" vertical="center" wrapText="1"/>
      <protection locked="0"/>
    </xf>
    <xf numFmtId="0" fontId="2" fillId="10" borderId="11" xfId="6" applyFont="1" applyFill="1" applyBorder="1" applyAlignment="1" applyProtection="1">
      <alignment horizontal="center" vertical="center" wrapText="1"/>
      <protection locked="0"/>
    </xf>
    <xf numFmtId="9" fontId="2" fillId="10" borderId="11" xfId="7" applyNumberFormat="1" applyFont="1" applyFill="1" applyBorder="1" applyAlignment="1" applyProtection="1">
      <alignment horizontal="center" vertical="center" wrapText="1"/>
      <protection locked="0"/>
    </xf>
    <xf numFmtId="0" fontId="2" fillId="10" borderId="11" xfId="2" applyFont="1" applyFill="1" applyBorder="1" applyAlignment="1">
      <alignment horizontal="center" vertical="center"/>
    </xf>
    <xf numFmtId="9" fontId="2" fillId="11" borderId="5" xfId="7" applyFont="1" applyFill="1" applyBorder="1" applyAlignment="1">
      <alignment horizontal="right" vertical="center" wrapText="1"/>
    </xf>
    <xf numFmtId="9" fontId="2" fillId="10" borderId="11" xfId="7" applyFont="1" applyFill="1" applyBorder="1" applyAlignment="1">
      <alignment horizontal="right" vertical="center" wrapText="1"/>
    </xf>
    <xf numFmtId="9" fontId="2" fillId="10" borderId="12" xfId="7" applyNumberFormat="1" applyFont="1" applyFill="1" applyBorder="1" applyAlignment="1">
      <alignment vertical="center"/>
    </xf>
    <xf numFmtId="9" fontId="2" fillId="10" borderId="5" xfId="7" applyFont="1" applyFill="1" applyBorder="1" applyAlignment="1">
      <alignment horizontal="right" vertical="center" wrapText="1"/>
    </xf>
    <xf numFmtId="9" fontId="2" fillId="10" borderId="9" xfId="7" applyNumberFormat="1" applyFont="1" applyFill="1" applyBorder="1" applyAlignment="1">
      <alignment vertical="center"/>
    </xf>
    <xf numFmtId="0" fontId="2" fillId="10" borderId="11" xfId="2" applyFont="1" applyFill="1" applyBorder="1" applyAlignment="1">
      <alignment vertical="center" wrapText="1"/>
    </xf>
    <xf numFmtId="0" fontId="2" fillId="10" borderId="11" xfId="2" applyFont="1" applyFill="1" applyBorder="1" applyAlignment="1">
      <alignment horizontal="left" vertical="center" wrapText="1"/>
    </xf>
    <xf numFmtId="0" fontId="2" fillId="10" borderId="17" xfId="6" applyFont="1" applyFill="1" applyBorder="1" applyAlignment="1" applyProtection="1">
      <alignment horizontal="justify" vertical="center" wrapText="1"/>
      <protection locked="0"/>
    </xf>
    <xf numFmtId="0" fontId="2" fillId="10" borderId="17" xfId="6" applyFont="1" applyFill="1" applyBorder="1" applyAlignment="1" applyProtection="1">
      <alignment horizontal="center" vertical="center" wrapText="1"/>
      <protection locked="0"/>
    </xf>
    <xf numFmtId="9" fontId="2" fillId="10" borderId="17" xfId="7" applyNumberFormat="1" applyFont="1" applyFill="1" applyBorder="1" applyAlignment="1" applyProtection="1">
      <alignment horizontal="center" vertical="center" wrapText="1"/>
      <protection locked="0"/>
    </xf>
    <xf numFmtId="0" fontId="2" fillId="10" borderId="17" xfId="2" applyFont="1" applyFill="1" applyBorder="1" applyAlignment="1">
      <alignment horizontal="center" vertical="center"/>
    </xf>
    <xf numFmtId="9" fontId="2" fillId="10" borderId="16" xfId="7" applyFont="1" applyFill="1" applyBorder="1" applyAlignment="1">
      <alignment horizontal="right" vertical="center" wrapText="1"/>
    </xf>
    <xf numFmtId="9" fontId="2" fillId="10" borderId="17" xfId="7" applyFont="1" applyFill="1" applyBorder="1" applyAlignment="1">
      <alignment horizontal="right" vertical="center" wrapText="1"/>
    </xf>
    <xf numFmtId="9" fontId="2" fillId="10" borderId="18" xfId="7" applyNumberFormat="1" applyFont="1" applyFill="1" applyBorder="1" applyAlignment="1">
      <alignment vertical="center"/>
    </xf>
    <xf numFmtId="9" fontId="2" fillId="11" borderId="16" xfId="7" applyFont="1" applyFill="1" applyBorder="1" applyAlignment="1">
      <alignment horizontal="right" vertical="center" wrapText="1"/>
    </xf>
    <xf numFmtId="9" fontId="2" fillId="10" borderId="31" xfId="7" applyNumberFormat="1" applyFont="1" applyFill="1" applyBorder="1" applyAlignment="1">
      <alignment vertical="center"/>
    </xf>
    <xf numFmtId="0" fontId="2" fillId="10" borderId="17" xfId="2" applyFont="1" applyFill="1" applyBorder="1" applyAlignment="1">
      <alignment vertical="center" wrapText="1"/>
    </xf>
    <xf numFmtId="0" fontId="2" fillId="0" borderId="24" xfId="6" applyFont="1" applyFill="1" applyBorder="1" applyAlignment="1" applyProtection="1">
      <alignment horizontal="justify" vertical="center" wrapText="1"/>
      <protection locked="0"/>
    </xf>
    <xf numFmtId="0" fontId="2" fillId="0" borderId="24" xfId="6" applyFont="1" applyFill="1" applyBorder="1" applyAlignment="1" applyProtection="1">
      <alignment horizontal="center" vertical="center" wrapText="1"/>
      <protection locked="0"/>
    </xf>
    <xf numFmtId="9" fontId="2" fillId="0" borderId="24" xfId="7" applyFont="1" applyFill="1" applyBorder="1" applyAlignment="1" applyProtection="1">
      <alignment horizontal="center" vertical="center" wrapText="1"/>
      <protection locked="0"/>
    </xf>
    <xf numFmtId="0" fontId="2" fillId="0" borderId="24" xfId="2" applyFont="1" applyFill="1" applyBorder="1" applyAlignment="1" applyProtection="1">
      <alignment horizontal="center" vertical="center" wrapText="1"/>
      <protection locked="0"/>
    </xf>
    <xf numFmtId="0" fontId="12" fillId="0" borderId="24" xfId="2" applyFont="1" applyFill="1" applyBorder="1" applyAlignment="1" applyProtection="1">
      <alignment horizontal="center" vertical="center" wrapText="1"/>
      <protection locked="0"/>
    </xf>
    <xf numFmtId="0" fontId="2" fillId="0" borderId="24" xfId="2" applyFont="1" applyBorder="1" applyAlignment="1">
      <alignment horizontal="center" vertical="center"/>
    </xf>
    <xf numFmtId="0" fontId="2" fillId="0" borderId="24" xfId="2" applyFont="1" applyBorder="1" applyAlignment="1">
      <alignment vertical="top" wrapText="1"/>
    </xf>
    <xf numFmtId="0" fontId="2" fillId="0" borderId="0" xfId="2" applyFont="1" applyBorder="1" applyAlignment="1">
      <alignment vertical="center"/>
    </xf>
    <xf numFmtId="0" fontId="2" fillId="0" borderId="17" xfId="6" applyFont="1" applyFill="1" applyBorder="1" applyAlignment="1" applyProtection="1">
      <alignment horizontal="justify" vertical="center" wrapText="1"/>
      <protection locked="0"/>
    </xf>
    <xf numFmtId="9" fontId="2" fillId="0" borderId="17" xfId="7" applyFont="1" applyFill="1" applyBorder="1" applyAlignment="1" applyProtection="1">
      <alignment horizontal="center" vertical="center" wrapText="1"/>
      <protection locked="0"/>
    </xf>
    <xf numFmtId="0" fontId="2" fillId="0" borderId="17" xfId="2" applyFont="1" applyFill="1" applyBorder="1" applyAlignment="1" applyProtection="1">
      <alignment horizontal="center" vertical="center" wrapText="1"/>
      <protection locked="0"/>
    </xf>
    <xf numFmtId="0" fontId="12" fillId="0" borderId="17" xfId="2" applyFont="1" applyFill="1" applyBorder="1" applyAlignment="1" applyProtection="1">
      <alignment horizontal="center" vertical="center" wrapText="1"/>
      <protection locked="0"/>
    </xf>
    <xf numFmtId="0" fontId="2" fillId="0" borderId="17" xfId="2" applyFont="1" applyBorder="1" applyAlignment="1">
      <alignment horizontal="center" vertical="center"/>
    </xf>
    <xf numFmtId="0" fontId="2" fillId="0" borderId="17" xfId="2" applyFont="1" applyBorder="1" applyAlignment="1">
      <alignment vertical="center" wrapText="1"/>
    </xf>
    <xf numFmtId="0" fontId="2" fillId="0" borderId="32" xfId="6" applyFont="1" applyBorder="1" applyAlignment="1" applyProtection="1">
      <alignment horizontal="center" vertical="center" wrapText="1"/>
      <protection locked="0"/>
    </xf>
    <xf numFmtId="0" fontId="2" fillId="0" borderId="33" xfId="6" applyFont="1" applyBorder="1" applyAlignment="1" applyProtection="1">
      <alignment horizontal="center" vertical="center" wrapText="1"/>
      <protection locked="0"/>
    </xf>
    <xf numFmtId="14" fontId="2" fillId="0" borderId="33" xfId="6" applyNumberFormat="1" applyFont="1" applyBorder="1" applyAlignment="1" applyProtection="1">
      <alignment horizontal="center" vertical="center" wrapText="1"/>
      <protection locked="0"/>
    </xf>
    <xf numFmtId="0" fontId="2" fillId="0" borderId="33" xfId="6" applyFont="1" applyBorder="1" applyAlignment="1" applyProtection="1">
      <alignment horizontal="justify" vertical="center" wrapText="1"/>
      <protection locked="0"/>
    </xf>
    <xf numFmtId="9" fontId="2" fillId="0" borderId="33" xfId="7" applyFont="1" applyBorder="1" applyAlignment="1" applyProtection="1">
      <alignment horizontal="center" vertical="center" wrapText="1"/>
      <protection locked="0"/>
    </xf>
    <xf numFmtId="166" fontId="2" fillId="0" borderId="33" xfId="4" applyNumberFormat="1" applyFont="1" applyBorder="1" applyAlignment="1" applyProtection="1">
      <alignment horizontal="center" vertical="center" wrapText="1"/>
      <protection locked="0"/>
    </xf>
    <xf numFmtId="165" fontId="2" fillId="0" borderId="34" xfId="4" applyNumberFormat="1" applyFont="1" applyBorder="1" applyAlignment="1" applyProtection="1">
      <alignment horizontal="center" vertical="center" wrapText="1"/>
      <protection locked="0"/>
    </xf>
    <xf numFmtId="9" fontId="13" fillId="11" borderId="32" xfId="7" applyFont="1" applyFill="1" applyBorder="1" applyAlignment="1">
      <alignment horizontal="right" vertical="center" wrapText="1"/>
    </xf>
    <xf numFmtId="9" fontId="13" fillId="10" borderId="33" xfId="7" applyFont="1" applyFill="1" applyBorder="1" applyAlignment="1">
      <alignment horizontal="right" vertical="center" wrapText="1"/>
    </xf>
    <xf numFmtId="9" fontId="13" fillId="10" borderId="35" xfId="7" applyNumberFormat="1" applyFont="1" applyFill="1" applyBorder="1" applyAlignment="1">
      <alignment vertical="center"/>
    </xf>
    <xf numFmtId="9" fontId="13" fillId="10" borderId="34" xfId="7" applyNumberFormat="1" applyFont="1" applyFill="1" applyBorder="1" applyAlignment="1">
      <alignment vertical="center"/>
    </xf>
    <xf numFmtId="9" fontId="13" fillId="10" borderId="33" xfId="7" applyNumberFormat="1" applyFont="1" applyFill="1" applyBorder="1" applyAlignment="1">
      <alignment vertical="center"/>
    </xf>
    <xf numFmtId="0" fontId="13" fillId="0" borderId="33" xfId="2" applyFont="1" applyFill="1" applyBorder="1" applyAlignment="1">
      <alignment horizontal="left" vertical="center" wrapText="1"/>
    </xf>
    <xf numFmtId="0" fontId="2" fillId="0" borderId="0" xfId="2" applyFont="1" applyAlignment="1">
      <alignment vertical="center"/>
    </xf>
    <xf numFmtId="9" fontId="7" fillId="0" borderId="15" xfId="2" applyNumberFormat="1" applyFont="1" applyFill="1" applyBorder="1" applyAlignment="1">
      <alignment vertical="center"/>
    </xf>
    <xf numFmtId="9" fontId="7" fillId="0" borderId="15" xfId="3" applyFont="1" applyFill="1" applyBorder="1" applyAlignment="1">
      <alignment vertical="center"/>
    </xf>
    <xf numFmtId="9" fontId="2" fillId="0" borderId="0" xfId="2" applyNumberFormat="1" applyFont="1" applyFill="1" applyBorder="1" applyAlignment="1">
      <alignment vertical="center"/>
    </xf>
    <xf numFmtId="9" fontId="2" fillId="0" borderId="0" xfId="3" applyFont="1" applyFill="1" applyBorder="1" applyAlignment="1">
      <alignment vertical="center"/>
    </xf>
    <xf numFmtId="0" fontId="2" fillId="0" borderId="0" xfId="2" applyFont="1" applyBorder="1" applyAlignment="1">
      <alignment horizontal="center" vertical="center" wrapText="1"/>
    </xf>
    <xf numFmtId="14" fontId="2" fillId="0" borderId="0" xfId="2" applyNumberFormat="1" applyFont="1" applyBorder="1" applyAlignment="1">
      <alignment horizontal="center" vertical="center" wrapText="1"/>
    </xf>
    <xf numFmtId="0" fontId="2" fillId="0" borderId="0" xfId="2" applyFont="1" applyBorder="1" applyAlignment="1">
      <alignment horizontal="justify" vertical="center" wrapText="1"/>
    </xf>
    <xf numFmtId="9" fontId="2" fillId="0" borderId="0" xfId="3" applyFont="1" applyBorder="1" applyAlignment="1">
      <alignment horizontal="center" vertical="center" wrapText="1"/>
    </xf>
    <xf numFmtId="165" fontId="2" fillId="0" borderId="0" xfId="4" applyNumberFormat="1" applyFont="1" applyBorder="1" applyAlignment="1">
      <alignment horizontal="center" vertical="center" wrapText="1"/>
    </xf>
    <xf numFmtId="0" fontId="2" fillId="0" borderId="0" xfId="2" applyFont="1" applyFill="1" applyBorder="1" applyAlignment="1">
      <alignment vertical="center"/>
    </xf>
    <xf numFmtId="0" fontId="7" fillId="4" borderId="11" xfId="2" applyFont="1" applyFill="1" applyBorder="1" applyAlignment="1">
      <alignment horizontal="center" vertical="center" wrapText="1"/>
    </xf>
    <xf numFmtId="0" fontId="7" fillId="5" borderId="11" xfId="2" applyFont="1" applyFill="1" applyBorder="1" applyAlignment="1">
      <alignment horizontal="center" vertical="center" wrapText="1"/>
    </xf>
    <xf numFmtId="0" fontId="7" fillId="5" borderId="11" xfId="2" quotePrefix="1" applyFont="1" applyFill="1" applyBorder="1" applyAlignment="1">
      <alignment horizontal="center" vertical="center" wrapText="1"/>
    </xf>
    <xf numFmtId="9" fontId="7" fillId="5" borderId="11" xfId="3" quotePrefix="1" applyFont="1" applyFill="1" applyBorder="1" applyAlignment="1">
      <alignment horizontal="center" vertical="center" wrapText="1"/>
    </xf>
    <xf numFmtId="165" fontId="7" fillId="6" borderId="11" xfId="4" applyNumberFormat="1" applyFont="1" applyFill="1" applyBorder="1" applyAlignment="1">
      <alignment horizontal="center" vertical="center" wrapText="1"/>
    </xf>
    <xf numFmtId="0" fontId="7" fillId="4" borderId="11" xfId="2" quotePrefix="1" applyFont="1" applyFill="1" applyBorder="1" applyAlignment="1">
      <alignment horizontal="center" vertical="center" wrapText="1"/>
    </xf>
    <xf numFmtId="9" fontId="7" fillId="5" borderId="11" xfId="3" applyFont="1" applyFill="1" applyBorder="1" applyAlignment="1">
      <alignment horizontal="center" vertical="center" wrapText="1"/>
    </xf>
    <xf numFmtId="165" fontId="10" fillId="7" borderId="11" xfId="5" applyNumberFormat="1" applyFont="1" applyFill="1" applyBorder="1" applyAlignment="1">
      <alignment horizontal="center" vertical="center" wrapText="1"/>
    </xf>
    <xf numFmtId="165" fontId="10" fillId="8" borderId="11" xfId="5" applyNumberFormat="1" applyFont="1" applyFill="1" applyBorder="1" applyAlignment="1">
      <alignment horizontal="center" vertical="center" wrapText="1"/>
    </xf>
    <xf numFmtId="165" fontId="10" fillId="9" borderId="11" xfId="5" applyNumberFormat="1" applyFont="1" applyFill="1" applyBorder="1" applyAlignment="1">
      <alignment horizontal="center" vertical="center" wrapText="1"/>
    </xf>
    <xf numFmtId="0" fontId="11" fillId="7" borderId="11" xfId="2" applyFont="1" applyFill="1" applyBorder="1" applyAlignment="1">
      <alignment horizontal="center" vertical="center"/>
    </xf>
    <xf numFmtId="0" fontId="2" fillId="0" borderId="11" xfId="2" applyFont="1" applyBorder="1" applyAlignment="1">
      <alignment horizontal="justify" vertical="center" wrapText="1"/>
    </xf>
    <xf numFmtId="0" fontId="2" fillId="0" borderId="11" xfId="2" applyFont="1" applyBorder="1" applyAlignment="1">
      <alignment horizontal="center" vertical="center" wrapText="1"/>
    </xf>
    <xf numFmtId="9" fontId="2" fillId="0" borderId="11" xfId="3" applyFont="1" applyBorder="1" applyAlignment="1">
      <alignment horizontal="center" vertical="center" wrapText="1"/>
    </xf>
    <xf numFmtId="9" fontId="2" fillId="11" borderId="11" xfId="7" applyFont="1" applyFill="1" applyBorder="1" applyAlignment="1">
      <alignment horizontal="right" vertical="center" wrapText="1"/>
    </xf>
    <xf numFmtId="9" fontId="2" fillId="10" borderId="11" xfId="7" applyNumberFormat="1" applyFont="1" applyFill="1" applyBorder="1" applyAlignment="1">
      <alignment vertical="center"/>
    </xf>
    <xf numFmtId="0" fontId="2" fillId="0" borderId="11" xfId="2" applyFont="1" applyBorder="1" applyAlignment="1">
      <alignment vertical="center" wrapText="1"/>
    </xf>
    <xf numFmtId="0" fontId="2" fillId="0" borderId="11" xfId="2" applyFont="1" applyBorder="1" applyAlignment="1">
      <alignment horizontal="justify" vertical="center"/>
    </xf>
    <xf numFmtId="0" fontId="2" fillId="12" borderId="11" xfId="2" applyFont="1" applyFill="1" applyBorder="1" applyAlignment="1">
      <alignment horizontal="justify" vertical="center" wrapText="1"/>
    </xf>
    <xf numFmtId="0" fontId="2" fillId="0" borderId="11" xfId="2" applyFont="1" applyBorder="1" applyAlignment="1">
      <alignment vertical="center"/>
    </xf>
    <xf numFmtId="0" fontId="2" fillId="0" borderId="11" xfId="2" applyFont="1" applyBorder="1" applyAlignment="1">
      <alignment horizontal="center" vertical="center"/>
    </xf>
    <xf numFmtId="0" fontId="2" fillId="0" borderId="11" xfId="2" applyFont="1" applyFill="1" applyBorder="1" applyAlignment="1">
      <alignment horizontal="left" vertical="center" wrapText="1"/>
    </xf>
    <xf numFmtId="0" fontId="2" fillId="0" borderId="11" xfId="2" applyFont="1" applyBorder="1" applyAlignment="1">
      <alignment horizontal="left" vertical="center" wrapText="1"/>
    </xf>
    <xf numFmtId="9" fontId="2" fillId="0" borderId="11" xfId="3" applyNumberFormat="1" applyFont="1" applyBorder="1" applyAlignment="1">
      <alignment horizontal="center" vertical="center"/>
    </xf>
    <xf numFmtId="9" fontId="2" fillId="0" borderId="11" xfId="3" applyFont="1" applyBorder="1" applyAlignment="1">
      <alignment horizontal="center" vertical="center"/>
    </xf>
    <xf numFmtId="0" fontId="2" fillId="0" borderId="11" xfId="2" applyFont="1" applyFill="1" applyBorder="1" applyAlignment="1">
      <alignment vertical="center" wrapText="1"/>
    </xf>
    <xf numFmtId="0" fontId="2" fillId="0" borderId="11" xfId="2" applyFont="1" applyFill="1" applyBorder="1" applyAlignment="1">
      <alignment horizontal="justify" vertical="center" wrapText="1"/>
    </xf>
    <xf numFmtId="0" fontId="14" fillId="0" borderId="11" xfId="2" applyFont="1" applyBorder="1" applyAlignment="1">
      <alignment horizontal="center" vertical="center" wrapText="1"/>
    </xf>
    <xf numFmtId="0" fontId="14" fillId="0" borderId="11" xfId="2" applyFont="1" applyBorder="1" applyAlignment="1">
      <alignment horizontal="center" vertical="center"/>
    </xf>
    <xf numFmtId="0" fontId="2" fillId="10" borderId="11" xfId="2" applyFont="1" applyFill="1" applyBorder="1" applyAlignment="1">
      <alignment horizontal="center" vertical="center" wrapText="1"/>
    </xf>
    <xf numFmtId="14" fontId="2" fillId="10" borderId="11" xfId="2" applyNumberFormat="1" applyFont="1" applyFill="1" applyBorder="1" applyAlignment="1">
      <alignment horizontal="center" vertical="center" wrapText="1"/>
    </xf>
    <xf numFmtId="0" fontId="2" fillId="10" borderId="11" xfId="2" applyFont="1" applyFill="1" applyBorder="1" applyAlignment="1">
      <alignment horizontal="justify" vertical="center" wrapText="1"/>
    </xf>
    <xf numFmtId="9" fontId="2" fillId="10" borderId="11" xfId="3" applyFont="1" applyFill="1" applyBorder="1" applyAlignment="1">
      <alignment horizontal="center" vertical="center" wrapText="1"/>
    </xf>
    <xf numFmtId="166" fontId="2" fillId="0" borderId="11" xfId="4" applyNumberFormat="1" applyFont="1" applyBorder="1" applyAlignment="1">
      <alignment horizontal="center" vertical="center" wrapText="1"/>
    </xf>
    <xf numFmtId="0" fontId="13" fillId="0" borderId="11" xfId="2" applyFont="1" applyFill="1" applyBorder="1" applyAlignment="1">
      <alignment vertical="center" wrapText="1"/>
    </xf>
    <xf numFmtId="0" fontId="2" fillId="10" borderId="0" xfId="2" applyFont="1" applyFill="1" applyBorder="1" applyAlignment="1">
      <alignment horizontal="center" vertical="center" wrapText="1"/>
    </xf>
    <xf numFmtId="14" fontId="2" fillId="10" borderId="0" xfId="2" applyNumberFormat="1" applyFont="1" applyFill="1" applyBorder="1" applyAlignment="1">
      <alignment horizontal="center" vertical="center" wrapText="1"/>
    </xf>
    <xf numFmtId="0" fontId="2" fillId="10" borderId="0" xfId="2" applyFont="1" applyFill="1" applyBorder="1" applyAlignment="1">
      <alignment horizontal="justify" vertical="center" wrapText="1"/>
    </xf>
    <xf numFmtId="9" fontId="2" fillId="10" borderId="0" xfId="3" applyFont="1" applyFill="1" applyBorder="1" applyAlignment="1">
      <alignment horizontal="center" vertical="center" wrapText="1"/>
    </xf>
    <xf numFmtId="166" fontId="2" fillId="0" borderId="0" xfId="4" applyNumberFormat="1" applyFont="1" applyBorder="1" applyAlignment="1">
      <alignment horizontal="center" vertical="center" wrapText="1"/>
    </xf>
    <xf numFmtId="9" fontId="2" fillId="10" borderId="0" xfId="7" applyFont="1" applyFill="1" applyBorder="1" applyAlignment="1">
      <alignment horizontal="right" vertical="center" wrapText="1"/>
    </xf>
    <xf numFmtId="9" fontId="2" fillId="10" borderId="0" xfId="7" applyNumberFormat="1" applyFont="1" applyFill="1" applyBorder="1" applyAlignment="1">
      <alignment vertical="center"/>
    </xf>
    <xf numFmtId="0" fontId="13" fillId="0" borderId="0" xfId="2" applyFont="1" applyBorder="1" applyAlignment="1">
      <alignment vertical="center" wrapText="1"/>
    </xf>
    <xf numFmtId="0" fontId="2" fillId="0" borderId="11" xfId="2" applyFont="1" applyFill="1" applyBorder="1" applyAlignment="1">
      <alignment horizontal="center" vertical="center" wrapText="1"/>
    </xf>
    <xf numFmtId="9" fontId="2" fillId="0" borderId="11" xfId="3" applyFont="1" applyFill="1" applyBorder="1" applyAlignment="1">
      <alignment horizontal="center" vertical="center" wrapText="1"/>
    </xf>
    <xf numFmtId="0" fontId="14" fillId="0" borderId="11" xfId="2" applyFont="1" applyFill="1" applyBorder="1" applyAlignment="1">
      <alignment horizontal="center" vertical="center" wrapText="1"/>
    </xf>
    <xf numFmtId="9" fontId="2" fillId="0" borderId="11" xfId="7" applyFont="1" applyFill="1" applyBorder="1" applyAlignment="1">
      <alignment horizontal="right" vertical="center" wrapText="1"/>
    </xf>
    <xf numFmtId="9" fontId="2" fillId="0" borderId="11" xfId="7" applyNumberFormat="1" applyFont="1" applyFill="1" applyBorder="1" applyAlignment="1">
      <alignment vertical="center"/>
    </xf>
    <xf numFmtId="0" fontId="2" fillId="13" borderId="11" xfId="2" applyFont="1" applyFill="1" applyBorder="1" applyAlignment="1">
      <alignment vertical="center" wrapText="1"/>
    </xf>
    <xf numFmtId="0" fontId="7" fillId="0" borderId="15" xfId="2" applyFont="1" applyFill="1" applyBorder="1" applyAlignment="1">
      <alignment vertical="center"/>
    </xf>
    <xf numFmtId="9" fontId="7" fillId="0" borderId="15" xfId="2" applyNumberFormat="1" applyFont="1" applyBorder="1" applyAlignment="1">
      <alignment vertical="center"/>
    </xf>
    <xf numFmtId="0" fontId="2" fillId="0" borderId="0" xfId="6" applyFont="1" applyFill="1" applyBorder="1" applyAlignment="1" applyProtection="1">
      <alignment horizontal="center" vertical="center" wrapText="1"/>
      <protection locked="0"/>
    </xf>
    <xf numFmtId="0" fontId="2" fillId="0" borderId="0" xfId="2" applyFont="1" applyFill="1" applyBorder="1" applyAlignment="1">
      <alignment horizontal="center" vertical="center" wrapText="1"/>
    </xf>
    <xf numFmtId="168" fontId="2" fillId="0" borderId="0" xfId="6" applyNumberFormat="1" applyFont="1" applyFill="1" applyBorder="1" applyAlignment="1" applyProtection="1">
      <alignment horizontal="center" vertical="center" wrapText="1"/>
      <protection locked="0"/>
    </xf>
    <xf numFmtId="0" fontId="2" fillId="0" borderId="0" xfId="9" applyFont="1" applyFill="1" applyBorder="1" applyAlignment="1">
      <alignment horizontal="justify" vertical="center" wrapText="1"/>
    </xf>
    <xf numFmtId="9" fontId="2" fillId="0" borderId="0" xfId="3" applyFont="1" applyFill="1" applyBorder="1" applyAlignment="1" applyProtection="1">
      <alignment horizontal="center" vertical="center" wrapText="1"/>
      <protection locked="0"/>
    </xf>
    <xf numFmtId="165" fontId="2" fillId="0" borderId="0" xfId="4" applyNumberFormat="1" applyFont="1" applyFill="1" applyBorder="1" applyAlignment="1">
      <alignment horizontal="center" vertical="center" wrapText="1"/>
    </xf>
    <xf numFmtId="0" fontId="7" fillId="5" borderId="19" xfId="2" quotePrefix="1" applyFont="1" applyFill="1" applyBorder="1" applyAlignment="1">
      <alignment horizontal="center" vertical="center" wrapText="1"/>
    </xf>
    <xf numFmtId="0" fontId="7" fillId="5" borderId="19" xfId="2" applyFont="1" applyFill="1" applyBorder="1" applyAlignment="1">
      <alignment horizontal="center" vertical="center" wrapText="1"/>
    </xf>
    <xf numFmtId="9" fontId="7" fillId="5" borderId="19" xfId="3" applyFont="1" applyFill="1" applyBorder="1" applyAlignment="1">
      <alignment horizontal="center" vertical="center" wrapText="1"/>
    </xf>
    <xf numFmtId="165" fontId="10" fillId="8" borderId="19" xfId="5" applyNumberFormat="1" applyFont="1" applyFill="1" applyBorder="1" applyAlignment="1">
      <alignment horizontal="center" vertical="center" wrapText="1"/>
    </xf>
    <xf numFmtId="165" fontId="10" fillId="9" borderId="19" xfId="5" applyNumberFormat="1" applyFont="1" applyFill="1" applyBorder="1" applyAlignment="1">
      <alignment horizontal="center" vertical="center" wrapText="1"/>
    </xf>
    <xf numFmtId="0" fontId="2" fillId="0" borderId="24" xfId="2" applyFont="1" applyFill="1" applyBorder="1" applyAlignment="1">
      <alignment horizontal="justify" vertical="center" wrapText="1"/>
    </xf>
    <xf numFmtId="0" fontId="2" fillId="10" borderId="24" xfId="2" applyFont="1" applyFill="1" applyBorder="1" applyAlignment="1">
      <alignment horizontal="center" vertical="center" wrapText="1"/>
    </xf>
    <xf numFmtId="9" fontId="2" fillId="0" borderId="24" xfId="3" applyFont="1" applyFill="1" applyBorder="1" applyAlignment="1">
      <alignment horizontal="center" vertical="center" wrapText="1"/>
    </xf>
    <xf numFmtId="0" fontId="2" fillId="0" borderId="24" xfId="2" applyFont="1" applyFill="1" applyBorder="1" applyAlignment="1">
      <alignment horizontal="center" vertical="center" wrapText="1"/>
    </xf>
    <xf numFmtId="9" fontId="2" fillId="11" borderId="24" xfId="7" applyFont="1" applyFill="1" applyBorder="1" applyAlignment="1">
      <alignment horizontal="right" vertical="center" wrapText="1"/>
    </xf>
    <xf numFmtId="9" fontId="2" fillId="10" borderId="24" xfId="7" applyNumberFormat="1" applyFont="1" applyFill="1" applyBorder="1" applyAlignment="1">
      <alignment vertical="center"/>
    </xf>
    <xf numFmtId="0" fontId="2" fillId="0" borderId="24" xfId="2" applyFont="1" applyBorder="1" applyAlignment="1">
      <alignment vertical="center" wrapText="1"/>
    </xf>
    <xf numFmtId="0" fontId="2" fillId="0" borderId="17" xfId="2" applyFont="1" applyBorder="1" applyAlignment="1">
      <alignment horizontal="justify" vertical="center"/>
    </xf>
    <xf numFmtId="0" fontId="2" fillId="10" borderId="17" xfId="2" applyFont="1" applyFill="1" applyBorder="1" applyAlignment="1">
      <alignment horizontal="center" vertical="center" wrapText="1"/>
    </xf>
    <xf numFmtId="9" fontId="2" fillId="0" borderId="17" xfId="3" applyFont="1" applyBorder="1" applyAlignment="1">
      <alignment horizontal="center" vertical="center"/>
    </xf>
    <xf numFmtId="0" fontId="2" fillId="0" borderId="17" xfId="2" applyFont="1" applyFill="1" applyBorder="1" applyAlignment="1">
      <alignment horizontal="center" vertical="center" wrapText="1"/>
    </xf>
    <xf numFmtId="9" fontId="2" fillId="10" borderId="17" xfId="7" applyNumberFormat="1" applyFont="1" applyFill="1" applyBorder="1" applyAlignment="1">
      <alignment vertical="center"/>
    </xf>
    <xf numFmtId="9" fontId="2" fillId="11" borderId="17" xfId="7" applyFont="1" applyFill="1" applyBorder="1" applyAlignment="1">
      <alignment horizontal="right" vertical="center" wrapText="1"/>
    </xf>
    <xf numFmtId="0" fontId="2" fillId="0" borderId="17" xfId="2" applyFont="1" applyFill="1" applyBorder="1" applyAlignment="1">
      <alignment vertical="center" wrapText="1"/>
    </xf>
    <xf numFmtId="0" fontId="13" fillId="0" borderId="11" xfId="2" applyFont="1" applyBorder="1" applyAlignment="1">
      <alignment vertical="center" wrapText="1"/>
    </xf>
    <xf numFmtId="0" fontId="2" fillId="0" borderId="17" xfId="2" applyFont="1" applyFill="1" applyBorder="1" applyAlignment="1">
      <alignment horizontal="justify" vertical="center" wrapText="1"/>
    </xf>
    <xf numFmtId="9" fontId="2" fillId="0" borderId="17" xfId="3" applyFont="1" applyFill="1" applyBorder="1" applyAlignment="1">
      <alignment horizontal="center" vertical="center" wrapText="1"/>
    </xf>
    <xf numFmtId="0" fontId="14" fillId="0" borderId="17" xfId="2" applyFont="1" applyFill="1" applyBorder="1" applyAlignment="1">
      <alignment horizontal="center" vertical="center" wrapText="1"/>
    </xf>
    <xf numFmtId="0" fontId="2" fillId="0" borderId="32" xfId="2" applyFont="1" applyFill="1" applyBorder="1" applyAlignment="1">
      <alignment vertical="center" wrapText="1"/>
    </xf>
    <xf numFmtId="0" fontId="2" fillId="0" borderId="33" xfId="2" applyFont="1" applyFill="1" applyBorder="1" applyAlignment="1">
      <alignment horizontal="center" vertical="center" wrapText="1"/>
    </xf>
    <xf numFmtId="14" fontId="2" fillId="0" borderId="33" xfId="2" applyNumberFormat="1" applyFont="1" applyFill="1" applyBorder="1" applyAlignment="1">
      <alignment horizontal="center" vertical="center" wrapText="1"/>
    </xf>
    <xf numFmtId="0" fontId="2" fillId="0" borderId="33" xfId="2" applyFont="1" applyFill="1" applyBorder="1" applyAlignment="1">
      <alignment horizontal="justify" vertical="center" wrapText="1"/>
    </xf>
    <xf numFmtId="9" fontId="2" fillId="0" borderId="33" xfId="3" applyFont="1" applyFill="1" applyBorder="1" applyAlignment="1">
      <alignment horizontal="center" vertical="center" wrapText="1"/>
    </xf>
    <xf numFmtId="166" fontId="2" fillId="0" borderId="33" xfId="8" applyNumberFormat="1" applyFont="1" applyFill="1" applyBorder="1" applyAlignment="1">
      <alignment horizontal="center" vertical="center" wrapText="1"/>
    </xf>
    <xf numFmtId="9" fontId="2" fillId="10" borderId="33" xfId="7" applyFont="1" applyFill="1" applyBorder="1" applyAlignment="1">
      <alignment horizontal="right" vertical="center" wrapText="1"/>
    </xf>
    <xf numFmtId="9" fontId="2" fillId="10" borderId="33" xfId="7" applyNumberFormat="1" applyFont="1" applyFill="1" applyBorder="1" applyAlignment="1">
      <alignment vertical="center"/>
    </xf>
    <xf numFmtId="9" fontId="2" fillId="11" borderId="33" xfId="7" applyFont="1" applyFill="1" applyBorder="1" applyAlignment="1">
      <alignment horizontal="right" vertical="center" wrapText="1"/>
    </xf>
    <xf numFmtId="9" fontId="2" fillId="0" borderId="33" xfId="2" applyNumberFormat="1" applyFont="1" applyBorder="1" applyAlignment="1">
      <alignment horizontal="center" vertical="center"/>
    </xf>
    <xf numFmtId="0" fontId="2" fillId="0" borderId="33" xfId="2" applyFont="1" applyBorder="1" applyAlignment="1">
      <alignment vertical="center" wrapText="1"/>
    </xf>
    <xf numFmtId="0" fontId="2" fillId="0" borderId="0" xfId="2" applyFont="1" applyAlignment="1">
      <alignment horizontal="center" vertical="center" wrapText="1"/>
    </xf>
    <xf numFmtId="0" fontId="2" fillId="0" borderId="0" xfId="2" applyFont="1" applyAlignment="1">
      <alignment horizontal="justify" vertical="center"/>
    </xf>
    <xf numFmtId="0" fontId="2" fillId="0" borderId="0" xfId="2" applyFont="1" applyAlignment="1">
      <alignment horizontal="center" vertical="center"/>
    </xf>
    <xf numFmtId="9" fontId="2" fillId="0" borderId="0" xfId="3" applyFont="1" applyAlignment="1">
      <alignment horizontal="center" vertical="center"/>
    </xf>
    <xf numFmtId="165" fontId="2" fillId="0" borderId="0" xfId="4" applyNumberFormat="1" applyFont="1" applyAlignment="1">
      <alignment horizontal="center" vertical="center" wrapText="1"/>
    </xf>
    <xf numFmtId="0" fontId="7" fillId="3" borderId="11" xfId="2" applyFont="1" applyFill="1" applyBorder="1" applyAlignment="1">
      <alignment horizontal="left" vertical="center" wrapText="1"/>
    </xf>
    <xf numFmtId="0" fontId="2" fillId="10" borderId="24" xfId="2" quotePrefix="1" applyFont="1" applyFill="1" applyBorder="1" applyAlignment="1">
      <alignment horizontal="justify" vertical="center" wrapText="1"/>
    </xf>
    <xf numFmtId="0" fontId="7" fillId="0" borderId="24" xfId="2" applyFont="1" applyFill="1" applyBorder="1" applyAlignment="1">
      <alignment horizontal="center" vertical="center" wrapText="1"/>
    </xf>
    <xf numFmtId="165" fontId="7" fillId="0" borderId="24" xfId="4" applyNumberFormat="1" applyFont="1" applyFill="1" applyBorder="1" applyAlignment="1">
      <alignment horizontal="center" vertical="center" wrapText="1"/>
    </xf>
    <xf numFmtId="9" fontId="2" fillId="0" borderId="24" xfId="7" applyFont="1" applyFill="1" applyBorder="1" applyAlignment="1">
      <alignment horizontal="right" vertical="center" wrapText="1"/>
    </xf>
    <xf numFmtId="0" fontId="2" fillId="0" borderId="17" xfId="2" quotePrefix="1" applyFont="1" applyBorder="1" applyAlignment="1">
      <alignment horizontal="justify" vertical="center"/>
    </xf>
    <xf numFmtId="0" fontId="2" fillId="0" borderId="17" xfId="2" applyFont="1" applyBorder="1" applyAlignment="1">
      <alignment horizontal="center" vertical="center" wrapText="1"/>
    </xf>
    <xf numFmtId="166" fontId="2" fillId="0" borderId="17" xfId="4" applyNumberFormat="1" applyFont="1" applyFill="1" applyBorder="1" applyAlignment="1">
      <alignment horizontal="center" vertical="center" wrapText="1"/>
    </xf>
    <xf numFmtId="14" fontId="2" fillId="0" borderId="24" xfId="2" applyNumberFormat="1" applyFont="1" applyBorder="1" applyAlignment="1">
      <alignment horizontal="center" vertical="center" wrapText="1"/>
    </xf>
    <xf numFmtId="0" fontId="2" fillId="0" borderId="24" xfId="2" quotePrefix="1" applyFont="1" applyBorder="1" applyAlignment="1">
      <alignment horizontal="justify" vertical="center" wrapText="1"/>
    </xf>
    <xf numFmtId="0" fontId="2" fillId="0" borderId="24" xfId="2" applyFont="1" applyBorder="1" applyAlignment="1">
      <alignment horizontal="center" vertical="center" wrapText="1"/>
    </xf>
    <xf numFmtId="14" fontId="2" fillId="0" borderId="11" xfId="2" applyNumberFormat="1" applyFont="1" applyBorder="1" applyAlignment="1">
      <alignment horizontal="center" vertical="center" wrapText="1"/>
    </xf>
    <xf numFmtId="14" fontId="2" fillId="0" borderId="17" xfId="2" applyNumberFormat="1" applyFont="1" applyBorder="1" applyAlignment="1">
      <alignment horizontal="center" vertical="center" wrapText="1"/>
    </xf>
    <xf numFmtId="0" fontId="2" fillId="0" borderId="17" xfId="2" applyFont="1" applyBorder="1" applyAlignment="1">
      <alignment horizontal="justify" vertical="center" wrapText="1"/>
    </xf>
    <xf numFmtId="0" fontId="2" fillId="0" borderId="0" xfId="2" applyFont="1" applyAlignment="1">
      <alignment horizontal="justify" vertical="center" wrapText="1"/>
    </xf>
    <xf numFmtId="9" fontId="2" fillId="0" borderId="0" xfId="3" applyFont="1" applyAlignment="1">
      <alignment horizontal="center" vertical="center" wrapText="1"/>
    </xf>
    <xf numFmtId="0" fontId="7" fillId="0" borderId="38" xfId="2" applyFont="1" applyFill="1" applyBorder="1" applyAlignment="1">
      <alignment vertical="center"/>
    </xf>
    <xf numFmtId="9" fontId="7" fillId="0" borderId="39" xfId="2" applyNumberFormat="1" applyFont="1" applyFill="1" applyBorder="1" applyAlignment="1">
      <alignment vertical="center"/>
    </xf>
    <xf numFmtId="9" fontId="7" fillId="0" borderId="40" xfId="2" applyNumberFormat="1" applyFont="1" applyFill="1" applyBorder="1" applyAlignment="1">
      <alignment vertical="center"/>
    </xf>
    <xf numFmtId="0" fontId="7" fillId="0" borderId="0" xfId="2" applyFont="1" applyBorder="1" applyAlignment="1">
      <alignment vertical="center"/>
    </xf>
    <xf numFmtId="9" fontId="2" fillId="0" borderId="0" xfId="2" applyNumberFormat="1" applyFont="1" applyBorder="1" applyAlignment="1">
      <alignment vertical="center"/>
    </xf>
    <xf numFmtId="165" fontId="2" fillId="0" borderId="0" xfId="4" applyNumberFormat="1" applyFont="1" applyAlignment="1">
      <alignment horizontal="center" vertical="center"/>
    </xf>
    <xf numFmtId="9" fontId="14" fillId="0" borderId="0" xfId="1" applyFont="1" applyBorder="1" applyAlignment="1">
      <alignment vertical="center"/>
    </xf>
    <xf numFmtId="0" fontId="17" fillId="0" borderId="0" xfId="10" applyFill="1"/>
    <xf numFmtId="0" fontId="2" fillId="0" borderId="0" xfId="2" applyAlignment="1">
      <alignment vertical="center" wrapText="1"/>
    </xf>
    <xf numFmtId="0" fontId="2" fillId="0" borderId="0" xfId="2" applyBorder="1" applyAlignment="1">
      <alignment vertical="center" wrapText="1"/>
    </xf>
    <xf numFmtId="0" fontId="17" fillId="0" borderId="0" xfId="10" applyFill="1" applyBorder="1"/>
    <xf numFmtId="0" fontId="21" fillId="0" borderId="41" xfId="2" applyFont="1" applyBorder="1" applyAlignment="1">
      <alignment vertical="center" wrapText="1"/>
    </xf>
    <xf numFmtId="0" fontId="21" fillId="0" borderId="11" xfId="2" applyFont="1" applyBorder="1" applyAlignment="1">
      <alignment horizontal="center" vertical="center" wrapText="1"/>
    </xf>
    <xf numFmtId="0" fontId="2" fillId="0" borderId="13" xfId="2" applyBorder="1" applyAlignment="1"/>
    <xf numFmtId="0" fontId="22" fillId="0" borderId="11" xfId="2" applyFont="1" applyBorder="1" applyAlignment="1">
      <alignment horizontal="center" vertical="center" wrapText="1"/>
    </xf>
    <xf numFmtId="0" fontId="2" fillId="0" borderId="0" xfId="6" applyAlignment="1">
      <alignment horizontal="center"/>
    </xf>
    <xf numFmtId="0" fontId="23" fillId="0" borderId="0" xfId="6" applyFont="1"/>
    <xf numFmtId="0" fontId="2" fillId="0" borderId="0" xfId="6"/>
    <xf numFmtId="0" fontId="2" fillId="0" borderId="0" xfId="6" applyFont="1"/>
    <xf numFmtId="0" fontId="12" fillId="0" borderId="0" xfId="6" applyFont="1" applyAlignment="1">
      <alignment horizontal="justify"/>
    </xf>
    <xf numFmtId="0" fontId="12" fillId="0" borderId="0" xfId="6" applyFont="1"/>
    <xf numFmtId="0" fontId="22" fillId="0" borderId="0" xfId="6" applyFont="1"/>
    <xf numFmtId="0" fontId="0" fillId="0" borderId="0" xfId="0" applyBorder="1"/>
    <xf numFmtId="0" fontId="24" fillId="14" borderId="11" xfId="6" applyFont="1" applyFill="1" applyBorder="1" applyAlignment="1">
      <alignment horizontal="center" vertical="center" wrapText="1"/>
    </xf>
    <xf numFmtId="0" fontId="21" fillId="15" borderId="19" xfId="6" applyFont="1" applyFill="1" applyBorder="1" applyAlignment="1">
      <alignment horizontal="center" vertical="center" wrapText="1"/>
    </xf>
    <xf numFmtId="165" fontId="10" fillId="7" borderId="19" xfId="4" applyNumberFormat="1" applyFont="1" applyFill="1" applyBorder="1" applyAlignment="1">
      <alignment horizontal="center" vertical="center" wrapText="1"/>
    </xf>
    <xf numFmtId="0" fontId="22" fillId="0" borderId="41" xfId="6" applyFont="1" applyBorder="1" applyAlignment="1">
      <alignment horizontal="center"/>
    </xf>
    <xf numFmtId="0" fontId="22" fillId="0" borderId="24" xfId="6" applyFont="1" applyFill="1" applyBorder="1" applyAlignment="1" applyProtection="1">
      <alignment vertical="center" wrapText="1"/>
    </xf>
    <xf numFmtId="0" fontId="22" fillId="0" borderId="24" xfId="6" applyFont="1" applyFill="1" applyBorder="1" applyAlignment="1">
      <alignment horizontal="justify" vertical="center" wrapText="1"/>
    </xf>
    <xf numFmtId="0" fontId="22" fillId="0" borderId="24" xfId="6" applyFont="1" applyBorder="1" applyAlignment="1">
      <alignment horizontal="center" vertical="center" wrapText="1"/>
    </xf>
    <xf numFmtId="0" fontId="22" fillId="0" borderId="24" xfId="6" applyFont="1" applyBorder="1"/>
    <xf numFmtId="0" fontId="22" fillId="0" borderId="3" xfId="6" applyFont="1" applyBorder="1"/>
    <xf numFmtId="0" fontId="22" fillId="0" borderId="0" xfId="6" applyFont="1" applyBorder="1"/>
    <xf numFmtId="0" fontId="22" fillId="0" borderId="13" xfId="6" applyFont="1" applyBorder="1" applyAlignment="1">
      <alignment horizontal="center"/>
    </xf>
    <xf numFmtId="0" fontId="22" fillId="0" borderId="11" xfId="6" applyFont="1" applyFill="1" applyBorder="1" applyAlignment="1" applyProtection="1">
      <alignment vertical="center" wrapText="1"/>
    </xf>
    <xf numFmtId="0" fontId="22" fillId="0" borderId="11" xfId="6" applyFont="1" applyFill="1" applyBorder="1" applyAlignment="1">
      <alignment horizontal="justify" vertical="center" wrapText="1"/>
    </xf>
    <xf numFmtId="0" fontId="22" fillId="0" borderId="11" xfId="6" applyFont="1" applyBorder="1" applyAlignment="1">
      <alignment horizontal="center" vertical="center" wrapText="1"/>
    </xf>
    <xf numFmtId="0" fontId="22" fillId="0" borderId="11" xfId="6" applyFont="1" applyBorder="1"/>
    <xf numFmtId="0" fontId="22" fillId="0" borderId="38" xfId="6" applyFont="1" applyBorder="1" applyAlignment="1">
      <alignment horizontal="center"/>
    </xf>
    <xf numFmtId="0" fontId="22" fillId="0" borderId="17" xfId="6" applyFont="1" applyFill="1" applyBorder="1" applyAlignment="1" applyProtection="1">
      <alignment vertical="center" wrapText="1"/>
    </xf>
    <xf numFmtId="0" fontId="22" fillId="0" borderId="17" xfId="6" applyFont="1" applyFill="1" applyBorder="1" applyAlignment="1">
      <alignment horizontal="justify" vertical="center" wrapText="1"/>
    </xf>
    <xf numFmtId="0" fontId="22" fillId="0" borderId="17" xfId="6" applyFont="1" applyBorder="1" applyAlignment="1">
      <alignment horizontal="center" vertical="center" wrapText="1"/>
    </xf>
    <xf numFmtId="0" fontId="22" fillId="0" borderId="17" xfId="6" applyFont="1" applyBorder="1"/>
    <xf numFmtId="0" fontId="22" fillId="0" borderId="39" xfId="6" applyFont="1" applyBorder="1"/>
    <xf numFmtId="0" fontId="22" fillId="0" borderId="24" xfId="6" applyFont="1" applyFill="1" applyBorder="1" applyAlignment="1">
      <alignment vertical="center" wrapText="1"/>
    </xf>
    <xf numFmtId="0" fontId="22" fillId="0" borderId="11" xfId="6" applyFont="1" applyFill="1" applyBorder="1" applyAlignment="1">
      <alignment vertical="center" wrapText="1"/>
    </xf>
    <xf numFmtId="0" fontId="22" fillId="0" borderId="17" xfId="6" applyFont="1" applyFill="1" applyBorder="1" applyAlignment="1">
      <alignment vertical="center" wrapText="1"/>
    </xf>
    <xf numFmtId="0" fontId="22" fillId="0" borderId="48" xfId="6" applyFont="1" applyBorder="1" applyAlignment="1">
      <alignment horizontal="center"/>
    </xf>
    <xf numFmtId="0" fontId="22" fillId="0" borderId="33" xfId="6" applyFont="1" applyFill="1" applyBorder="1" applyAlignment="1" applyProtection="1">
      <alignment horizontal="justify" vertical="center" wrapText="1"/>
    </xf>
    <xf numFmtId="0" fontId="22" fillId="0" borderId="33" xfId="6" applyFont="1" applyFill="1" applyBorder="1" applyAlignment="1">
      <alignment horizontal="justify" vertical="center" wrapText="1"/>
    </xf>
    <xf numFmtId="0" fontId="22" fillId="0" borderId="33" xfId="6" applyFont="1" applyBorder="1" applyAlignment="1">
      <alignment horizontal="center" vertical="center" wrapText="1"/>
    </xf>
    <xf numFmtId="0" fontId="22" fillId="0" borderId="33" xfId="6" applyFont="1" applyBorder="1"/>
    <xf numFmtId="0" fontId="22" fillId="0" borderId="29" xfId="6" applyFont="1" applyFill="1" applyBorder="1" applyAlignment="1" applyProtection="1">
      <alignment horizontal="justify" vertical="center" wrapText="1"/>
    </xf>
    <xf numFmtId="0" fontId="22" fillId="0" borderId="29" xfId="6" applyFont="1" applyFill="1" applyBorder="1" applyAlignment="1">
      <alignment horizontal="justify" vertical="center" wrapText="1"/>
    </xf>
    <xf numFmtId="0" fontId="22" fillId="0" borderId="29" xfId="6" applyFont="1" applyBorder="1" applyAlignment="1">
      <alignment horizontal="center" vertical="center" wrapText="1"/>
    </xf>
    <xf numFmtId="0" fontId="22" fillId="0" borderId="29" xfId="6" applyFont="1" applyBorder="1"/>
    <xf numFmtId="0" fontId="22" fillId="0" borderId="3" xfId="6" applyFont="1" applyBorder="1" applyAlignment="1">
      <alignment horizontal="justify" wrapText="1"/>
    </xf>
    <xf numFmtId="0" fontId="22" fillId="0" borderId="11" xfId="6" applyFont="1" applyFill="1" applyBorder="1" applyAlignment="1">
      <alignment horizontal="left" vertical="center" wrapText="1"/>
    </xf>
    <xf numFmtId="0" fontId="22" fillId="0" borderId="24" xfId="2" applyFont="1" applyFill="1" applyBorder="1" applyAlignment="1">
      <alignment horizontal="justify" vertical="center" wrapText="1"/>
    </xf>
    <xf numFmtId="0" fontId="22" fillId="0" borderId="17" xfId="2" applyFont="1" applyFill="1" applyBorder="1" applyAlignment="1">
      <alignment horizontal="justify" vertical="center" wrapText="1"/>
    </xf>
    <xf numFmtId="0" fontId="22" fillId="0" borderId="23" xfId="6" applyFont="1" applyFill="1" applyBorder="1" applyAlignment="1">
      <alignment horizontal="justify" vertical="center" wrapText="1"/>
    </xf>
    <xf numFmtId="0" fontId="22" fillId="0" borderId="0" xfId="6" applyFont="1" applyBorder="1" applyAlignment="1">
      <alignment horizontal="justify" vertical="center" wrapText="1"/>
    </xf>
    <xf numFmtId="165" fontId="7" fillId="0" borderId="0" xfId="4" applyNumberFormat="1" applyFont="1" applyBorder="1" applyAlignment="1" applyProtection="1">
      <alignment horizontal="right" vertical="center" wrapText="1"/>
      <protection locked="0"/>
    </xf>
    <xf numFmtId="9" fontId="7" fillId="0" borderId="0" xfId="2" applyNumberFormat="1" applyFont="1" applyFill="1" applyBorder="1" applyAlignment="1">
      <alignment vertical="center"/>
    </xf>
    <xf numFmtId="9" fontId="7" fillId="0" borderId="0" xfId="3" applyFont="1" applyFill="1" applyBorder="1" applyAlignment="1">
      <alignment vertical="center"/>
    </xf>
    <xf numFmtId="165" fontId="7" fillId="0" borderId="3" xfId="4" applyNumberFormat="1" applyFont="1" applyBorder="1" applyAlignment="1" applyProtection="1">
      <alignment vertical="center" wrapText="1"/>
      <protection locked="0"/>
    </xf>
    <xf numFmtId="9" fontId="7" fillId="0" borderId="3" xfId="1" applyFont="1" applyBorder="1" applyAlignment="1" applyProtection="1">
      <alignment vertical="center" wrapText="1"/>
      <protection locked="0"/>
    </xf>
    <xf numFmtId="0" fontId="7" fillId="0" borderId="0" xfId="2" applyFont="1" applyFill="1" applyBorder="1" applyAlignment="1">
      <alignment vertical="center"/>
    </xf>
    <xf numFmtId="9" fontId="7" fillId="0" borderId="0" xfId="2" applyNumberFormat="1" applyFont="1" applyBorder="1" applyAlignment="1">
      <alignment vertical="center"/>
    </xf>
    <xf numFmtId="9" fontId="7" fillId="10" borderId="0" xfId="7" applyFont="1" applyFill="1" applyBorder="1" applyAlignment="1">
      <alignment horizontal="right" vertical="center" wrapText="1"/>
    </xf>
    <xf numFmtId="9" fontId="2" fillId="0" borderId="11" xfId="2" applyNumberFormat="1" applyFont="1" applyBorder="1" applyAlignment="1">
      <alignment vertical="center"/>
    </xf>
    <xf numFmtId="0" fontId="2" fillId="0" borderId="41" xfId="2" applyBorder="1" applyAlignment="1">
      <alignment horizontal="center"/>
    </xf>
    <xf numFmtId="0" fontId="2" fillId="0" borderId="36" xfId="2" applyBorder="1" applyAlignment="1">
      <alignment horizontal="center"/>
    </xf>
    <xf numFmtId="0" fontId="2" fillId="0" borderId="13" xfId="2" applyBorder="1" applyAlignment="1">
      <alignment horizontal="center"/>
    </xf>
    <xf numFmtId="0" fontId="2" fillId="0" borderId="42" xfId="2" applyBorder="1" applyAlignment="1">
      <alignment horizontal="center"/>
    </xf>
    <xf numFmtId="0" fontId="2" fillId="0" borderId="43" xfId="2" applyBorder="1" applyAlignment="1">
      <alignment horizontal="center"/>
    </xf>
    <xf numFmtId="0" fontId="2" fillId="0" borderId="44" xfId="2" applyBorder="1" applyAlignment="1">
      <alignment horizontal="center"/>
    </xf>
    <xf numFmtId="0" fontId="18" fillId="0" borderId="11" xfId="2" applyFont="1" applyBorder="1" applyAlignment="1">
      <alignment horizontal="center" vertical="center" wrapText="1"/>
    </xf>
    <xf numFmtId="0" fontId="19" fillId="0" borderId="11" xfId="2" applyFont="1" applyBorder="1" applyAlignment="1">
      <alignment horizontal="right" vertical="center" wrapText="1"/>
    </xf>
    <xf numFmtId="0" fontId="20" fillId="0" borderId="11" xfId="2" applyFont="1" applyBorder="1" applyAlignment="1">
      <alignment horizontal="right" vertical="center" wrapText="1"/>
    </xf>
    <xf numFmtId="0" fontId="21" fillId="0" borderId="11" xfId="2" applyFont="1" applyBorder="1" applyAlignment="1">
      <alignment horizontal="center" vertical="center" wrapText="1"/>
    </xf>
    <xf numFmtId="0" fontId="22" fillId="0" borderId="11" xfId="2" applyFont="1" applyBorder="1" applyAlignment="1">
      <alignment horizontal="center" vertical="center" wrapText="1"/>
    </xf>
    <xf numFmtId="0" fontId="21" fillId="15" borderId="11" xfId="6" applyFont="1" applyFill="1" applyBorder="1" applyAlignment="1">
      <alignment horizontal="center" vertical="center"/>
    </xf>
    <xf numFmtId="0" fontId="21" fillId="15" borderId="47" xfId="6" applyFont="1" applyFill="1" applyBorder="1" applyAlignment="1">
      <alignment horizontal="center" vertical="center" wrapText="1"/>
    </xf>
    <xf numFmtId="0" fontId="21" fillId="15" borderId="45" xfId="6" applyFont="1" applyFill="1" applyBorder="1" applyAlignment="1">
      <alignment horizontal="center" vertical="center" wrapText="1"/>
    </xf>
    <xf numFmtId="0" fontId="21" fillId="15" borderId="46" xfId="6" applyFont="1" applyFill="1" applyBorder="1" applyAlignment="1">
      <alignment horizontal="center" vertical="center" wrapText="1"/>
    </xf>
    <xf numFmtId="0" fontId="21" fillId="15" borderId="7" xfId="6" applyFont="1" applyFill="1" applyBorder="1" applyAlignment="1">
      <alignment horizontal="center" vertical="center" wrapText="1"/>
    </xf>
    <xf numFmtId="0" fontId="21" fillId="15" borderId="14" xfId="6" applyFont="1" applyFill="1" applyBorder="1" applyAlignment="1">
      <alignment horizontal="center" vertical="center" wrapText="1"/>
    </xf>
    <xf numFmtId="0" fontId="21" fillId="15" borderId="44" xfId="6" applyFont="1" applyFill="1" applyBorder="1" applyAlignment="1">
      <alignment horizontal="center" vertical="center" wrapText="1"/>
    </xf>
    <xf numFmtId="0" fontId="21" fillId="15" borderId="47" xfId="6" applyFont="1" applyFill="1" applyBorder="1" applyAlignment="1">
      <alignment horizontal="center" vertical="center"/>
    </xf>
    <xf numFmtId="0" fontId="21" fillId="15" borderId="45" xfId="6" applyFont="1" applyFill="1" applyBorder="1" applyAlignment="1">
      <alignment horizontal="center" vertical="center"/>
    </xf>
    <xf numFmtId="0" fontId="21" fillId="15" borderId="46" xfId="6" applyFont="1" applyFill="1" applyBorder="1" applyAlignment="1">
      <alignment horizontal="center" vertical="center"/>
    </xf>
    <xf numFmtId="0" fontId="21" fillId="15" borderId="7" xfId="6" applyFont="1" applyFill="1" applyBorder="1" applyAlignment="1">
      <alignment horizontal="center" vertical="center"/>
    </xf>
    <xf numFmtId="0" fontId="21" fillId="15" borderId="14" xfId="6" applyFont="1" applyFill="1" applyBorder="1" applyAlignment="1">
      <alignment horizontal="center" vertical="center"/>
    </xf>
    <xf numFmtId="0" fontId="21" fillId="15" borderId="44" xfId="6" applyFont="1" applyFill="1" applyBorder="1" applyAlignment="1">
      <alignment horizontal="center" vertical="center"/>
    </xf>
    <xf numFmtId="0" fontId="24" fillId="14" borderId="9" xfId="6" applyFont="1" applyFill="1" applyBorder="1" applyAlignment="1">
      <alignment horizontal="left"/>
    </xf>
    <xf numFmtId="0" fontId="24" fillId="14" borderId="20" xfId="6" applyFont="1" applyFill="1" applyBorder="1" applyAlignment="1">
      <alignment horizontal="left"/>
    </xf>
    <xf numFmtId="0" fontId="24" fillId="14" borderId="37" xfId="6" applyFont="1" applyFill="1" applyBorder="1" applyAlignment="1">
      <alignment horizontal="left"/>
    </xf>
    <xf numFmtId="0" fontId="21" fillId="15" borderId="11" xfId="6" applyFont="1" applyFill="1" applyBorder="1" applyAlignment="1">
      <alignment horizontal="center" vertical="center" wrapText="1"/>
    </xf>
    <xf numFmtId="0" fontId="25" fillId="15" borderId="11" xfId="6" applyFont="1" applyFill="1" applyBorder="1" applyAlignment="1">
      <alignment horizontal="center" vertical="center" wrapText="1"/>
    </xf>
    <xf numFmtId="0" fontId="22" fillId="15" borderId="11" xfId="6" applyFont="1" applyFill="1" applyBorder="1" applyAlignment="1">
      <alignment wrapText="1"/>
    </xf>
    <xf numFmtId="0" fontId="21" fillId="15" borderId="11" xfId="2" applyFont="1" applyFill="1" applyBorder="1" applyAlignment="1">
      <alignment horizontal="center" vertical="center" wrapText="1"/>
    </xf>
    <xf numFmtId="0" fontId="26" fillId="15" borderId="11" xfId="2" applyFont="1" applyFill="1" applyBorder="1" applyAlignment="1">
      <alignment horizontal="center" vertical="center" wrapText="1"/>
    </xf>
    <xf numFmtId="0" fontId="21" fillId="15" borderId="19" xfId="6" applyFont="1" applyFill="1" applyBorder="1" applyAlignment="1">
      <alignment horizontal="center" vertical="center" wrapText="1"/>
    </xf>
    <xf numFmtId="0" fontId="21" fillId="15" borderId="21" xfId="6" applyFont="1" applyFill="1" applyBorder="1" applyAlignment="1">
      <alignment horizontal="center" vertical="center" wrapText="1"/>
    </xf>
    <xf numFmtId="0" fontId="21" fillId="15" borderId="15" xfId="6" applyFont="1" applyFill="1" applyBorder="1" applyAlignment="1">
      <alignment horizontal="center" vertical="center" wrapText="1"/>
    </xf>
    <xf numFmtId="0" fontId="22" fillId="15" borderId="11" xfId="6" applyFont="1" applyFill="1" applyBorder="1" applyAlignment="1">
      <alignment vertical="center"/>
    </xf>
    <xf numFmtId="0" fontId="27" fillId="16" borderId="11" xfId="6" applyFont="1" applyFill="1" applyBorder="1" applyAlignment="1">
      <alignment horizontal="center" vertical="center" wrapText="1"/>
    </xf>
    <xf numFmtId="0" fontId="21" fillId="15" borderId="9" xfId="6" applyFont="1" applyFill="1" applyBorder="1" applyAlignment="1">
      <alignment horizontal="center" vertical="center" wrapText="1"/>
    </xf>
    <xf numFmtId="0" fontId="21" fillId="15" borderId="37" xfId="6" applyFont="1" applyFill="1" applyBorder="1" applyAlignment="1">
      <alignment horizontal="center" vertical="center" wrapText="1"/>
    </xf>
    <xf numFmtId="0" fontId="22" fillId="0" borderId="23" xfId="6" applyFont="1" applyBorder="1" applyAlignment="1">
      <alignment horizontal="center" vertical="center" wrapText="1"/>
    </xf>
    <xf numFmtId="0" fontId="22" fillId="0" borderId="21" xfId="6" applyFont="1" applyBorder="1" applyAlignment="1">
      <alignment horizontal="center" vertical="center" wrapText="1"/>
    </xf>
    <xf numFmtId="0" fontId="21" fillId="17" borderId="24" xfId="6" applyFont="1" applyFill="1" applyBorder="1" applyAlignment="1">
      <alignment horizontal="center" vertical="center" wrapText="1"/>
    </xf>
    <xf numFmtId="0" fontId="21" fillId="17" borderId="11" xfId="6" applyFont="1" applyFill="1" applyBorder="1" applyAlignment="1">
      <alignment horizontal="center" vertical="center" wrapText="1"/>
    </xf>
    <xf numFmtId="0" fontId="21" fillId="17" borderId="17" xfId="6" applyFont="1" applyFill="1" applyBorder="1" applyAlignment="1">
      <alignment horizontal="center" vertical="center" wrapText="1"/>
    </xf>
    <xf numFmtId="0" fontId="22" fillId="18" borderId="23" xfId="6" applyFont="1" applyFill="1" applyBorder="1" applyAlignment="1" applyProtection="1">
      <alignment horizontal="center" vertical="center" wrapText="1"/>
    </xf>
    <xf numFmtId="0" fontId="22" fillId="18" borderId="21" xfId="6" applyFont="1" applyFill="1" applyBorder="1" applyAlignment="1" applyProtection="1">
      <alignment horizontal="center" vertical="center" wrapText="1"/>
    </xf>
    <xf numFmtId="0" fontId="22" fillId="18" borderId="29" xfId="6" applyFont="1" applyFill="1" applyBorder="1" applyAlignment="1" applyProtection="1">
      <alignment horizontal="center" vertical="center" wrapText="1"/>
    </xf>
    <xf numFmtId="0" fontId="22" fillId="0" borderId="23" xfId="6" applyFont="1" applyFill="1" applyBorder="1" applyAlignment="1" applyProtection="1">
      <alignment horizontal="justify" vertical="center" wrapText="1"/>
    </xf>
    <xf numFmtId="0" fontId="22" fillId="0" borderId="21" xfId="6" applyFont="1" applyFill="1" applyBorder="1" applyAlignment="1" applyProtection="1">
      <alignment horizontal="justify" vertical="center" wrapText="1"/>
    </xf>
    <xf numFmtId="0" fontId="22" fillId="0" borderId="29" xfId="6" applyFont="1" applyFill="1" applyBorder="1" applyAlignment="1" applyProtection="1">
      <alignment horizontal="justify" vertical="center" wrapText="1"/>
    </xf>
    <xf numFmtId="0" fontId="22" fillId="0" borderId="29" xfId="6" applyFont="1" applyBorder="1" applyAlignment="1">
      <alignment horizontal="center" vertical="center" wrapText="1"/>
    </xf>
    <xf numFmtId="165" fontId="9" fillId="7" borderId="11" xfId="4" applyNumberFormat="1" applyFont="1" applyFill="1" applyBorder="1" applyAlignment="1">
      <alignment horizontal="center" vertical="center" wrapText="1"/>
    </xf>
    <xf numFmtId="0" fontId="27" fillId="16" borderId="11" xfId="6" applyFont="1" applyFill="1" applyBorder="1" applyAlignment="1">
      <alignment horizontal="center" vertical="center"/>
    </xf>
    <xf numFmtId="9" fontId="22" fillId="0" borderId="23" xfId="11" applyFont="1" applyBorder="1" applyAlignment="1">
      <alignment horizontal="center" vertical="center" wrapText="1"/>
    </xf>
    <xf numFmtId="9" fontId="22" fillId="0" borderId="21" xfId="11" applyFont="1" applyBorder="1" applyAlignment="1">
      <alignment horizontal="center" vertical="center" wrapText="1"/>
    </xf>
    <xf numFmtId="9" fontId="22" fillId="0" borderId="29" xfId="11" applyFont="1" applyBorder="1" applyAlignment="1">
      <alignment horizontal="center" vertical="center" wrapText="1"/>
    </xf>
    <xf numFmtId="0" fontId="22" fillId="0" borderId="23" xfId="6" applyFont="1" applyFill="1" applyBorder="1" applyAlignment="1">
      <alignment horizontal="left" vertical="center" wrapText="1"/>
    </xf>
    <xf numFmtId="0" fontId="22" fillId="0" borderId="21" xfId="6" applyFont="1" applyFill="1" applyBorder="1" applyAlignment="1">
      <alignment horizontal="left" vertical="center" wrapText="1"/>
    </xf>
    <xf numFmtId="0" fontId="22" fillId="0" borderId="29" xfId="6" applyFont="1" applyFill="1" applyBorder="1" applyAlignment="1">
      <alignment horizontal="left" vertical="center" wrapText="1"/>
    </xf>
    <xf numFmtId="9" fontId="22" fillId="0" borderId="24" xfId="3" applyFont="1" applyBorder="1" applyAlignment="1">
      <alignment horizontal="center" vertical="center"/>
    </xf>
    <xf numFmtId="9" fontId="22" fillId="0" borderId="11" xfId="3" applyFont="1" applyBorder="1" applyAlignment="1">
      <alignment horizontal="center" vertical="center"/>
    </xf>
    <xf numFmtId="9" fontId="22" fillId="0" borderId="17" xfId="3" applyFont="1" applyBorder="1" applyAlignment="1">
      <alignment horizontal="center" vertical="center"/>
    </xf>
    <xf numFmtId="0" fontId="22" fillId="0" borderId="23" xfId="6" applyFont="1" applyFill="1" applyBorder="1" applyAlignment="1" applyProtection="1">
      <alignment horizontal="center" vertical="center" wrapText="1"/>
    </xf>
    <xf numFmtId="0" fontId="22" fillId="0" borderId="21" xfId="6" applyFont="1" applyFill="1" applyBorder="1" applyAlignment="1" applyProtection="1">
      <alignment horizontal="center" vertical="center" wrapText="1"/>
    </xf>
    <xf numFmtId="0" fontId="22" fillId="0" borderId="29" xfId="6" applyFont="1" applyFill="1" applyBorder="1" applyAlignment="1" applyProtection="1">
      <alignment horizontal="center" vertical="center" wrapText="1"/>
    </xf>
    <xf numFmtId="0" fontId="22" fillId="0" borderId="23" xfId="6" applyFont="1" applyBorder="1" applyAlignment="1">
      <alignment horizontal="justify" vertical="center" wrapText="1"/>
    </xf>
    <xf numFmtId="0" fontId="22" fillId="0" borderId="21" xfId="6" applyFont="1" applyBorder="1" applyAlignment="1">
      <alignment horizontal="justify" vertical="center" wrapText="1"/>
    </xf>
    <xf numFmtId="0" fontId="22" fillId="0" borderId="29" xfId="6" applyFont="1" applyBorder="1" applyAlignment="1">
      <alignment horizontal="justify" vertical="center" wrapText="1"/>
    </xf>
    <xf numFmtId="0" fontId="21" fillId="4" borderId="24" xfId="6" applyFont="1" applyFill="1" applyBorder="1" applyAlignment="1">
      <alignment horizontal="center" vertical="center" wrapText="1"/>
    </xf>
    <xf numFmtId="0" fontId="21" fillId="4" borderId="11" xfId="6" applyFont="1" applyFill="1" applyBorder="1" applyAlignment="1">
      <alignment horizontal="center" vertical="center" wrapText="1"/>
    </xf>
    <xf numFmtId="0" fontId="21" fillId="4" borderId="17" xfId="6" applyFont="1" applyFill="1" applyBorder="1" applyAlignment="1">
      <alignment horizontal="center" vertical="center" wrapText="1"/>
    </xf>
    <xf numFmtId="0" fontId="22" fillId="18" borderId="15" xfId="6" applyFont="1" applyFill="1" applyBorder="1" applyAlignment="1" applyProtection="1">
      <alignment horizontal="center" vertical="center" wrapText="1"/>
    </xf>
    <xf numFmtId="0" fontId="22" fillId="0" borderId="23" xfId="6" applyFont="1" applyFill="1" applyBorder="1" applyAlignment="1">
      <alignment horizontal="justify" vertical="center" wrapText="1" readingOrder="1"/>
    </xf>
    <xf numFmtId="0" fontId="22" fillId="0" borderId="21" xfId="6" applyFont="1" applyFill="1" applyBorder="1" applyAlignment="1">
      <alignment horizontal="justify" vertical="center" wrapText="1" readingOrder="1"/>
    </xf>
    <xf numFmtId="0" fontId="22" fillId="0" borderId="15" xfId="6" applyFont="1" applyFill="1" applyBorder="1" applyAlignment="1">
      <alignment horizontal="justify" vertical="center" wrapText="1" readingOrder="1"/>
    </xf>
    <xf numFmtId="0" fontId="22" fillId="0" borderId="23" xfId="6" applyFont="1" applyFill="1" applyBorder="1" applyAlignment="1">
      <alignment horizontal="justify" vertical="center" wrapText="1"/>
    </xf>
    <xf numFmtId="0" fontId="22" fillId="0" borderId="21" xfId="6" applyFont="1" applyFill="1" applyBorder="1" applyAlignment="1">
      <alignment horizontal="justify" vertical="center" wrapText="1"/>
    </xf>
    <xf numFmtId="0" fontId="22" fillId="0" borderId="29" xfId="6" applyFont="1" applyFill="1" applyBorder="1" applyAlignment="1">
      <alignment horizontal="justify" vertical="center" wrapText="1"/>
    </xf>
    <xf numFmtId="14" fontId="22" fillId="0" borderId="23" xfId="6" applyNumberFormat="1" applyFont="1" applyFill="1" applyBorder="1" applyAlignment="1">
      <alignment horizontal="center" vertical="center" wrapText="1"/>
    </xf>
    <xf numFmtId="14" fontId="22" fillId="0" borderId="21" xfId="6" applyNumberFormat="1" applyFont="1" applyFill="1" applyBorder="1" applyAlignment="1">
      <alignment horizontal="center" vertical="center" wrapText="1"/>
    </xf>
    <xf numFmtId="14" fontId="22" fillId="0" borderId="29" xfId="6" applyNumberFormat="1" applyFont="1" applyFill="1" applyBorder="1" applyAlignment="1">
      <alignment horizontal="center" vertical="center" wrapText="1"/>
    </xf>
    <xf numFmtId="0" fontId="22" fillId="0" borderId="15" xfId="6" applyFont="1" applyBorder="1" applyAlignment="1">
      <alignment horizontal="center" vertical="center" wrapText="1"/>
    </xf>
    <xf numFmtId="0" fontId="22" fillId="0" borderId="21" xfId="6" applyFont="1" applyBorder="1" applyAlignment="1">
      <alignment horizontal="justify" vertical="center"/>
    </xf>
    <xf numFmtId="0" fontId="22" fillId="0" borderId="29" xfId="6" applyFont="1" applyBorder="1" applyAlignment="1">
      <alignment horizontal="justify" vertical="center"/>
    </xf>
    <xf numFmtId="0" fontId="22" fillId="0" borderId="19" xfId="6" applyFont="1" applyBorder="1" applyAlignment="1">
      <alignment horizontal="center" vertical="center" wrapText="1"/>
    </xf>
    <xf numFmtId="0" fontId="29" fillId="0" borderId="19" xfId="6" applyFont="1" applyFill="1" applyBorder="1" applyAlignment="1">
      <alignment horizontal="justify" vertical="center" wrapText="1"/>
    </xf>
    <xf numFmtId="0" fontId="29" fillId="0" borderId="21" xfId="6" applyFont="1" applyFill="1" applyBorder="1" applyAlignment="1">
      <alignment horizontal="justify" vertical="center" wrapText="1"/>
    </xf>
    <xf numFmtId="0" fontId="22" fillId="0" borderId="15" xfId="6" applyFont="1" applyFill="1" applyBorder="1" applyAlignment="1">
      <alignment horizontal="left" vertical="center" wrapText="1"/>
    </xf>
    <xf numFmtId="0" fontId="22" fillId="18" borderId="19" xfId="6" applyFont="1" applyFill="1" applyBorder="1" applyAlignment="1" applyProtection="1">
      <alignment horizontal="center" vertical="center" wrapText="1"/>
    </xf>
    <xf numFmtId="0" fontId="22" fillId="0" borderId="19" xfId="6" applyFont="1" applyFill="1" applyBorder="1" applyAlignment="1">
      <alignment horizontal="justify" vertical="center" wrapText="1" readingOrder="1"/>
    </xf>
    <xf numFmtId="14" fontId="29" fillId="0" borderId="24" xfId="6" applyNumberFormat="1" applyFont="1" applyFill="1" applyBorder="1" applyAlignment="1">
      <alignment horizontal="center" vertical="center" wrapText="1"/>
    </xf>
    <xf numFmtId="14" fontId="29" fillId="0" borderId="11" xfId="6" applyNumberFormat="1" applyFont="1" applyFill="1" applyBorder="1" applyAlignment="1">
      <alignment horizontal="center" vertical="center" wrapText="1"/>
    </xf>
    <xf numFmtId="0" fontId="22" fillId="0" borderId="24" xfId="6" applyFont="1" applyFill="1" applyBorder="1" applyAlignment="1" applyProtection="1">
      <alignment horizontal="center" vertical="center" wrapText="1"/>
    </xf>
    <xf numFmtId="0" fontId="22" fillId="0" borderId="11" xfId="6" applyFont="1" applyFill="1" applyBorder="1" applyAlignment="1" applyProtection="1">
      <alignment horizontal="center" vertical="center" wrapText="1"/>
    </xf>
    <xf numFmtId="0" fontId="30" fillId="0" borderId="23" xfId="6" applyFont="1" applyBorder="1" applyAlignment="1">
      <alignment horizontal="justify" vertical="center" wrapText="1"/>
    </xf>
    <xf numFmtId="0" fontId="30" fillId="0" borderId="21" xfId="6" applyFont="1" applyBorder="1" applyAlignment="1">
      <alignment horizontal="justify" vertical="center"/>
    </xf>
    <xf numFmtId="0" fontId="22" fillId="0" borderId="23" xfId="6" applyFont="1" applyBorder="1" applyAlignment="1">
      <alignment horizontal="center"/>
    </xf>
    <xf numFmtId="0" fontId="22" fillId="0" borderId="21" xfId="6" applyFont="1" applyBorder="1" applyAlignment="1">
      <alignment horizontal="center"/>
    </xf>
    <xf numFmtId="0" fontId="22" fillId="0" borderId="19" xfId="6" applyFont="1" applyFill="1" applyBorder="1" applyAlignment="1" applyProtection="1">
      <alignment horizontal="center" vertical="center" wrapText="1"/>
    </xf>
    <xf numFmtId="0" fontId="22" fillId="0" borderId="19" xfId="6" applyFont="1" applyFill="1" applyBorder="1" applyAlignment="1">
      <alignment horizontal="left" vertical="center" wrapText="1"/>
    </xf>
    <xf numFmtId="0" fontId="22" fillId="0" borderId="19" xfId="6" applyFont="1" applyFill="1" applyBorder="1" applyAlignment="1">
      <alignment horizontal="justify" vertical="center" wrapText="1"/>
    </xf>
    <xf numFmtId="14" fontId="29" fillId="0" borderId="19" xfId="6" applyNumberFormat="1" applyFont="1" applyFill="1" applyBorder="1" applyAlignment="1">
      <alignment horizontal="center" vertical="center" wrapText="1"/>
    </xf>
    <xf numFmtId="14" fontId="29" fillId="0" borderId="21" xfId="6" applyNumberFormat="1" applyFont="1" applyFill="1" applyBorder="1" applyAlignment="1">
      <alignment horizontal="center" vertical="center" wrapText="1"/>
    </xf>
    <xf numFmtId="0" fontId="22" fillId="0" borderId="15" xfId="6" applyFont="1" applyFill="1" applyBorder="1" applyAlignment="1">
      <alignment horizontal="justify" vertical="center" wrapText="1"/>
    </xf>
    <xf numFmtId="9" fontId="22" fillId="0" borderId="19" xfId="11" applyFont="1" applyBorder="1" applyAlignment="1">
      <alignment horizontal="center" vertical="center" wrapText="1"/>
    </xf>
    <xf numFmtId="9" fontId="22" fillId="0" borderId="11" xfId="3" applyFont="1" applyFill="1" applyBorder="1" applyAlignment="1">
      <alignment horizontal="center" vertical="center"/>
    </xf>
    <xf numFmtId="9" fontId="22" fillId="0" borderId="19" xfId="3" applyFont="1" applyBorder="1" applyAlignment="1">
      <alignment horizontal="center" vertical="center"/>
    </xf>
    <xf numFmtId="9" fontId="22" fillId="0" borderId="29" xfId="3" applyFont="1" applyBorder="1" applyAlignment="1">
      <alignment horizontal="center" vertical="center"/>
    </xf>
    <xf numFmtId="0" fontId="22" fillId="0" borderId="19" xfId="6" applyFont="1" applyBorder="1" applyAlignment="1">
      <alignment horizontal="center"/>
    </xf>
    <xf numFmtId="0" fontId="22" fillId="0" borderId="29" xfId="6" applyFont="1" applyBorder="1" applyAlignment="1">
      <alignment horizontal="center"/>
    </xf>
    <xf numFmtId="0" fontId="22" fillId="0" borderId="19" xfId="6" applyFont="1" applyBorder="1" applyAlignment="1">
      <alignment horizontal="center" wrapText="1"/>
    </xf>
    <xf numFmtId="0" fontId="22" fillId="0" borderId="29" xfId="6" applyFont="1" applyBorder="1" applyAlignment="1">
      <alignment horizontal="center" wrapText="1"/>
    </xf>
    <xf numFmtId="0" fontId="22" fillId="0" borderId="23" xfId="6" applyFont="1" applyFill="1" applyBorder="1" applyAlignment="1">
      <alignment horizontal="center" vertical="center" wrapText="1"/>
    </xf>
    <xf numFmtId="0" fontId="22" fillId="0" borderId="29" xfId="6" applyFont="1" applyFill="1" applyBorder="1" applyAlignment="1">
      <alignment horizontal="center" vertical="center" wrapText="1"/>
    </xf>
    <xf numFmtId="14" fontId="29" fillId="0" borderId="29" xfId="6" applyNumberFormat="1" applyFont="1" applyFill="1" applyBorder="1" applyAlignment="1">
      <alignment horizontal="center" vertical="center" wrapText="1"/>
    </xf>
    <xf numFmtId="0" fontId="22" fillId="0" borderId="29" xfId="6" applyFont="1" applyFill="1" applyBorder="1" applyAlignment="1">
      <alignment horizontal="justify" vertical="center" wrapText="1" readingOrder="1"/>
    </xf>
    <xf numFmtId="0" fontId="22" fillId="0" borderId="3" xfId="6" applyFont="1" applyBorder="1" applyAlignment="1">
      <alignment horizontal="center"/>
    </xf>
    <xf numFmtId="0" fontId="22" fillId="0" borderId="39" xfId="6" applyFont="1" applyBorder="1" applyAlignment="1">
      <alignment horizontal="center"/>
    </xf>
    <xf numFmtId="0" fontId="21" fillId="12" borderId="23" xfId="6" applyFont="1" applyFill="1" applyBorder="1" applyAlignment="1">
      <alignment horizontal="center" vertical="center" wrapText="1"/>
    </xf>
    <xf numFmtId="0" fontId="21" fillId="12" borderId="21" xfId="6" applyFont="1" applyFill="1" applyBorder="1" applyAlignment="1">
      <alignment horizontal="center" vertical="center" wrapText="1"/>
    </xf>
    <xf numFmtId="0" fontId="21" fillId="12" borderId="29" xfId="6" applyFont="1" applyFill="1" applyBorder="1" applyAlignment="1">
      <alignment horizontal="center" vertical="center" wrapText="1"/>
    </xf>
    <xf numFmtId="0" fontId="22" fillId="0" borderId="23" xfId="6" applyFont="1" applyFill="1" applyBorder="1" applyAlignment="1">
      <alignment vertical="center" wrapText="1"/>
    </xf>
    <xf numFmtId="0" fontId="22" fillId="0" borderId="29" xfId="6" applyFont="1" applyFill="1" applyBorder="1" applyAlignment="1">
      <alignment vertical="center" wrapText="1"/>
    </xf>
    <xf numFmtId="9" fontId="22" fillId="0" borderId="23" xfId="3" applyFont="1" applyBorder="1" applyAlignment="1">
      <alignment horizontal="center" vertical="center"/>
    </xf>
    <xf numFmtId="0" fontId="29" fillId="0" borderId="23" xfId="6" applyFont="1" applyFill="1" applyBorder="1" applyAlignment="1">
      <alignment horizontal="justify" vertical="center" wrapText="1"/>
    </xf>
    <xf numFmtId="0" fontId="29" fillId="0" borderId="29" xfId="6" applyFont="1" applyFill="1" applyBorder="1" applyAlignment="1">
      <alignment horizontal="justify" vertical="center" wrapText="1"/>
    </xf>
    <xf numFmtId="14" fontId="29" fillId="0" borderId="23" xfId="6" applyNumberFormat="1" applyFont="1" applyFill="1" applyBorder="1" applyAlignment="1">
      <alignment horizontal="center" vertical="center" wrapText="1"/>
    </xf>
    <xf numFmtId="0" fontId="21" fillId="17" borderId="23" xfId="6" applyFont="1" applyFill="1" applyBorder="1" applyAlignment="1">
      <alignment horizontal="center" vertical="center" wrapText="1"/>
    </xf>
    <xf numFmtId="0" fontId="21" fillId="17" borderId="29" xfId="6" applyFont="1" applyFill="1" applyBorder="1" applyAlignment="1">
      <alignment horizontal="center" vertical="center" wrapText="1"/>
    </xf>
    <xf numFmtId="9" fontId="22" fillId="0" borderId="23" xfId="3" applyFont="1" applyFill="1" applyBorder="1" applyAlignment="1">
      <alignment horizontal="center" vertical="center"/>
    </xf>
    <xf numFmtId="9" fontId="22" fillId="0" borderId="21" xfId="3" applyFont="1" applyFill="1" applyBorder="1" applyAlignment="1">
      <alignment horizontal="center" vertical="center"/>
    </xf>
    <xf numFmtId="9" fontId="22" fillId="0" borderId="29" xfId="3" applyFont="1" applyFill="1" applyBorder="1" applyAlignment="1">
      <alignment horizontal="center" vertical="center"/>
    </xf>
    <xf numFmtId="0" fontId="21" fillId="19" borderId="24" xfId="6" applyFont="1" applyFill="1" applyBorder="1" applyAlignment="1">
      <alignment horizontal="center" vertical="center" wrapText="1"/>
    </xf>
    <xf numFmtId="0" fontId="21" fillId="19" borderId="11" xfId="6" applyFont="1" applyFill="1" applyBorder="1" applyAlignment="1">
      <alignment horizontal="center" vertical="center" wrapText="1"/>
    </xf>
    <xf numFmtId="0" fontId="21" fillId="19" borderId="17" xfId="6" applyFont="1" applyFill="1" applyBorder="1" applyAlignment="1">
      <alignment horizontal="center" vertical="center" wrapText="1"/>
    </xf>
    <xf numFmtId="9" fontId="22" fillId="0" borderId="23" xfId="6" applyNumberFormat="1" applyFont="1" applyFill="1" applyBorder="1" applyAlignment="1">
      <alignment horizontal="center" vertical="center" wrapText="1"/>
    </xf>
    <xf numFmtId="9" fontId="22" fillId="0" borderId="21" xfId="6" applyNumberFormat="1" applyFont="1" applyFill="1" applyBorder="1" applyAlignment="1">
      <alignment horizontal="center" vertical="center" wrapText="1"/>
    </xf>
    <xf numFmtId="9" fontId="22" fillId="0" borderId="29" xfId="6" applyNumberFormat="1" applyFont="1" applyFill="1" applyBorder="1" applyAlignment="1">
      <alignment horizontal="center" vertical="center" wrapText="1"/>
    </xf>
    <xf numFmtId="0" fontId="22" fillId="0" borderId="23" xfId="6" applyFont="1" applyBorder="1" applyAlignment="1">
      <alignment horizontal="left" vertical="center" wrapText="1"/>
    </xf>
    <xf numFmtId="0" fontId="22" fillId="0" borderId="21" xfId="6" applyFont="1" applyBorder="1" applyAlignment="1">
      <alignment horizontal="left" vertical="center" wrapText="1"/>
    </xf>
    <xf numFmtId="0" fontId="22" fillId="0" borderId="29" xfId="6" applyFont="1" applyBorder="1" applyAlignment="1">
      <alignment horizontal="left" vertical="center" wrapText="1"/>
    </xf>
    <xf numFmtId="0" fontId="22" fillId="0" borderId="24" xfId="6" applyFont="1" applyFill="1" applyBorder="1" applyAlignment="1">
      <alignment horizontal="justify" vertical="center" wrapText="1"/>
    </xf>
    <xf numFmtId="0" fontId="22" fillId="0" borderId="11" xfId="6" applyFont="1" applyFill="1" applyBorder="1" applyAlignment="1">
      <alignment horizontal="justify" vertical="center" wrapText="1"/>
    </xf>
    <xf numFmtId="9" fontId="22" fillId="0" borderId="23" xfId="3" applyFont="1" applyBorder="1" applyAlignment="1">
      <alignment horizontal="center" vertical="center" wrapText="1"/>
    </xf>
    <xf numFmtId="9" fontId="22" fillId="0" borderId="21" xfId="3" applyFont="1" applyBorder="1" applyAlignment="1">
      <alignment horizontal="center" vertical="center" wrapText="1"/>
    </xf>
    <xf numFmtId="9" fontId="22" fillId="0" borderId="15" xfId="3" applyFont="1" applyBorder="1" applyAlignment="1">
      <alignment horizontal="center" vertical="center" wrapText="1"/>
    </xf>
    <xf numFmtId="0" fontId="22" fillId="0" borderId="19" xfId="6" applyFont="1" applyFill="1" applyBorder="1" applyAlignment="1" applyProtection="1">
      <alignment horizontal="justify" vertical="center" wrapText="1"/>
    </xf>
    <xf numFmtId="0" fontId="22" fillId="0" borderId="15" xfId="6" applyFont="1" applyBorder="1" applyAlignment="1">
      <alignment horizontal="justify" vertical="center" wrapText="1"/>
    </xf>
    <xf numFmtId="9" fontId="22" fillId="0" borderId="15" xfId="11" applyFont="1" applyBorder="1" applyAlignment="1">
      <alignment horizontal="center" vertical="center" wrapText="1"/>
    </xf>
    <xf numFmtId="9" fontId="22" fillId="0" borderId="15" xfId="3" applyFont="1" applyBorder="1" applyAlignment="1">
      <alignment horizontal="center" vertical="center"/>
    </xf>
    <xf numFmtId="0" fontId="22" fillId="0" borderId="19" xfId="6" applyFont="1" applyFill="1" applyBorder="1" applyAlignment="1">
      <alignment horizontal="center" vertical="center" wrapText="1"/>
    </xf>
    <xf numFmtId="0" fontId="22" fillId="0" borderId="21" xfId="6" applyFont="1" applyFill="1" applyBorder="1" applyAlignment="1">
      <alignment horizontal="center" vertical="center" wrapText="1"/>
    </xf>
    <xf numFmtId="0" fontId="22" fillId="0" borderId="19" xfId="6" applyFont="1" applyBorder="1" applyAlignment="1">
      <alignment horizontal="justify" vertical="center" wrapText="1"/>
    </xf>
    <xf numFmtId="0" fontId="22" fillId="0" borderId="19" xfId="6" applyFont="1" applyBorder="1" applyAlignment="1">
      <alignment horizontal="left" vertical="center" wrapText="1"/>
    </xf>
    <xf numFmtId="0" fontId="22" fillId="0" borderId="15" xfId="6" applyFont="1" applyBorder="1" applyAlignment="1">
      <alignment horizontal="left" vertical="center" wrapText="1"/>
    </xf>
    <xf numFmtId="9" fontId="22" fillId="0" borderId="21" xfId="3" applyFont="1" applyBorder="1" applyAlignment="1">
      <alignment horizontal="center" vertical="center"/>
    </xf>
    <xf numFmtId="0" fontId="21" fillId="20" borderId="24" xfId="6" applyFont="1" applyFill="1" applyBorder="1" applyAlignment="1">
      <alignment horizontal="center" vertical="center" wrapText="1"/>
    </xf>
    <xf numFmtId="0" fontId="21" fillId="20" borderId="11" xfId="6" applyFont="1" applyFill="1" applyBorder="1" applyAlignment="1">
      <alignment horizontal="center" vertical="center" wrapText="1"/>
    </xf>
    <xf numFmtId="0" fontId="21" fillId="20" borderId="17" xfId="6" applyFont="1" applyFill="1" applyBorder="1" applyAlignment="1">
      <alignment horizontal="center" vertical="center" wrapText="1"/>
    </xf>
    <xf numFmtId="14" fontId="22" fillId="0" borderId="19" xfId="6" applyNumberFormat="1" applyFont="1" applyFill="1" applyBorder="1" applyAlignment="1">
      <alignment horizontal="center" vertical="center" wrapText="1"/>
    </xf>
    <xf numFmtId="9" fontId="22" fillId="0" borderId="19" xfId="6" applyNumberFormat="1" applyFont="1" applyFill="1" applyBorder="1" applyAlignment="1">
      <alignment horizontal="center" vertical="center" wrapText="1"/>
    </xf>
    <xf numFmtId="0" fontId="22" fillId="0" borderId="23" xfId="6" applyFont="1" applyBorder="1" applyAlignment="1">
      <alignment horizontal="justify" wrapText="1"/>
    </xf>
    <xf numFmtId="0" fontId="22" fillId="0" borderId="15" xfId="6" applyFont="1" applyBorder="1" applyAlignment="1">
      <alignment horizontal="justify" wrapText="1"/>
    </xf>
    <xf numFmtId="0" fontId="21" fillId="21" borderId="24" xfId="6" applyFont="1" applyFill="1" applyBorder="1" applyAlignment="1">
      <alignment horizontal="center" vertical="center" wrapText="1"/>
    </xf>
    <xf numFmtId="0" fontId="21" fillId="21" borderId="11" xfId="6" applyFont="1" applyFill="1" applyBorder="1" applyAlignment="1">
      <alignment horizontal="center" vertical="center" wrapText="1"/>
    </xf>
    <xf numFmtId="0" fontId="21" fillId="21" borderId="17" xfId="6" applyFont="1" applyFill="1" applyBorder="1" applyAlignment="1">
      <alignment horizontal="center" vertical="center" wrapText="1"/>
    </xf>
    <xf numFmtId="0" fontId="22" fillId="0" borderId="15" xfId="6" applyFont="1" applyFill="1" applyBorder="1" applyAlignment="1" applyProtection="1">
      <alignment horizontal="justify" vertical="center" wrapText="1"/>
    </xf>
    <xf numFmtId="9" fontId="22" fillId="0" borderId="15" xfId="3" applyFont="1" applyFill="1" applyBorder="1" applyAlignment="1">
      <alignment horizontal="center" vertical="center"/>
    </xf>
    <xf numFmtId="0" fontId="22" fillId="22" borderId="21" xfId="6" applyFont="1" applyFill="1" applyBorder="1" applyAlignment="1">
      <alignment horizontal="center" vertical="center" wrapText="1"/>
    </xf>
    <xf numFmtId="0" fontId="22" fillId="22" borderId="29" xfId="6" applyFont="1" applyFill="1" applyBorder="1" applyAlignment="1">
      <alignment horizontal="center" vertical="center" wrapText="1"/>
    </xf>
    <xf numFmtId="0" fontId="21" fillId="23" borderId="23" xfId="6" applyFont="1" applyFill="1" applyBorder="1" applyAlignment="1">
      <alignment horizontal="center" vertical="center" wrapText="1"/>
    </xf>
    <xf numFmtId="0" fontId="21" fillId="23" borderId="21" xfId="6" applyFont="1" applyFill="1" applyBorder="1" applyAlignment="1">
      <alignment horizontal="center" vertical="center" wrapText="1"/>
    </xf>
    <xf numFmtId="0" fontId="21" fillId="23" borderId="29" xfId="6" applyFont="1" applyFill="1" applyBorder="1" applyAlignment="1">
      <alignment horizontal="center" vertical="center" wrapText="1"/>
    </xf>
    <xf numFmtId="9" fontId="22" fillId="0" borderId="19" xfId="6" applyNumberFormat="1" applyFont="1" applyBorder="1" applyAlignment="1">
      <alignment horizontal="center" vertical="center" wrapText="1"/>
    </xf>
    <xf numFmtId="9" fontId="22" fillId="0" borderId="21" xfId="6" applyNumberFormat="1" applyFont="1" applyBorder="1" applyAlignment="1">
      <alignment horizontal="center" vertical="center" wrapText="1"/>
    </xf>
    <xf numFmtId="9" fontId="22" fillId="0" borderId="29" xfId="6" applyNumberFormat="1" applyFont="1" applyBorder="1" applyAlignment="1">
      <alignment horizontal="center" vertical="center" wrapText="1"/>
    </xf>
    <xf numFmtId="0" fontId="29" fillId="0" borderId="19" xfId="6" applyFont="1" applyFill="1" applyBorder="1" applyAlignment="1">
      <alignment horizontal="left" vertical="center" wrapText="1"/>
    </xf>
    <xf numFmtId="0" fontId="31" fillId="0" borderId="21" xfId="6" applyFont="1" applyFill="1" applyBorder="1" applyAlignment="1">
      <alignment horizontal="left" vertical="center" wrapText="1"/>
    </xf>
    <xf numFmtId="0" fontId="31" fillId="0" borderId="29" xfId="6" applyFont="1" applyFill="1" applyBorder="1" applyAlignment="1">
      <alignment horizontal="left" vertical="center" wrapText="1"/>
    </xf>
    <xf numFmtId="9" fontId="22" fillId="0" borderId="23" xfId="6" applyNumberFormat="1" applyFont="1" applyBorder="1" applyAlignment="1">
      <alignment horizontal="center" vertical="center" wrapText="1"/>
    </xf>
    <xf numFmtId="0" fontId="22" fillId="0" borderId="19" xfId="6" applyFont="1" applyFill="1" applyBorder="1" applyAlignment="1">
      <alignment horizontal="left" vertical="center" wrapText="1" readingOrder="1"/>
    </xf>
    <xf numFmtId="0" fontId="22" fillId="0" borderId="21" xfId="6" applyFont="1" applyFill="1" applyBorder="1" applyAlignment="1">
      <alignment horizontal="left" vertical="center" wrapText="1" readingOrder="1"/>
    </xf>
    <xf numFmtId="0" fontId="22" fillId="0" borderId="29" xfId="6" applyFont="1" applyFill="1" applyBorder="1" applyAlignment="1">
      <alignment horizontal="left" vertical="center" wrapText="1" readingOrder="1"/>
    </xf>
    <xf numFmtId="9" fontId="22" fillId="0" borderId="15" xfId="6" applyNumberFormat="1" applyFont="1" applyBorder="1" applyAlignment="1">
      <alignment horizontal="center" vertical="center" wrapText="1"/>
    </xf>
    <xf numFmtId="0" fontId="29" fillId="0" borderId="15" xfId="6" applyFont="1" applyFill="1" applyBorder="1" applyAlignment="1">
      <alignment horizontal="justify" vertical="center" wrapText="1"/>
    </xf>
    <xf numFmtId="9" fontId="22" fillId="0" borderId="19" xfId="3" applyFont="1" applyBorder="1" applyAlignment="1">
      <alignment horizontal="center" vertical="center" wrapText="1"/>
    </xf>
    <xf numFmtId="0" fontId="21" fillId="24" borderId="24" xfId="6" applyFont="1" applyFill="1" applyBorder="1" applyAlignment="1">
      <alignment horizontal="center" vertical="center" wrapText="1"/>
    </xf>
    <xf numFmtId="0" fontId="21" fillId="24" borderId="17" xfId="6" applyFont="1" applyFill="1" applyBorder="1" applyAlignment="1">
      <alignment horizontal="center" vertical="center" wrapText="1"/>
    </xf>
    <xf numFmtId="0" fontId="21" fillId="5" borderId="23" xfId="6" applyFont="1" applyFill="1" applyBorder="1" applyAlignment="1">
      <alignment horizontal="center" vertical="center" wrapText="1"/>
    </xf>
    <xf numFmtId="0" fontId="21" fillId="5" borderId="21" xfId="6" applyFont="1" applyFill="1" applyBorder="1" applyAlignment="1">
      <alignment horizontal="center" vertical="center" wrapText="1"/>
    </xf>
    <xf numFmtId="0" fontId="21" fillId="5" borderId="29" xfId="6" applyFont="1" applyFill="1" applyBorder="1" applyAlignment="1">
      <alignment horizontal="center" vertical="center" wrapText="1"/>
    </xf>
    <xf numFmtId="0" fontId="22" fillId="0" borderId="17" xfId="6" applyFont="1" applyFill="1" applyBorder="1" applyAlignment="1" applyProtection="1">
      <alignment horizontal="center" vertical="center" wrapText="1"/>
    </xf>
    <xf numFmtId="0" fontId="22" fillId="0" borderId="11" xfId="6" applyFont="1" applyBorder="1" applyAlignment="1">
      <alignment horizontal="center" vertical="center" wrapText="1"/>
    </xf>
    <xf numFmtId="0" fontId="22" fillId="0" borderId="17" xfId="6" applyFont="1" applyBorder="1" applyAlignment="1">
      <alignment horizontal="center" vertical="center" wrapText="1"/>
    </xf>
    <xf numFmtId="0" fontId="29" fillId="0" borderId="11" xfId="6" applyFont="1" applyFill="1" applyBorder="1" applyAlignment="1">
      <alignment horizontal="justify" vertical="center" wrapText="1"/>
    </xf>
    <xf numFmtId="0" fontId="29" fillId="0" borderId="17" xfId="6" applyFont="1" applyFill="1" applyBorder="1" applyAlignment="1">
      <alignment horizontal="justify" vertical="center" wrapText="1"/>
    </xf>
    <xf numFmtId="0" fontId="22" fillId="0" borderId="11" xfId="6" applyFont="1" applyBorder="1" applyAlignment="1">
      <alignment horizontal="center"/>
    </xf>
    <xf numFmtId="0" fontId="22" fillId="0" borderId="17" xfId="6" applyFont="1" applyBorder="1" applyAlignment="1">
      <alignment horizontal="center"/>
    </xf>
    <xf numFmtId="0" fontId="22" fillId="0" borderId="11" xfId="6" applyFont="1" applyBorder="1" applyAlignment="1">
      <alignment horizontal="center" wrapText="1"/>
    </xf>
    <xf numFmtId="0" fontId="22" fillId="0" borderId="17" xfId="6" applyFont="1" applyBorder="1" applyAlignment="1">
      <alignment horizontal="center" wrapText="1"/>
    </xf>
    <xf numFmtId="0" fontId="22" fillId="18" borderId="11" xfId="6" applyFont="1" applyFill="1" applyBorder="1" applyAlignment="1" applyProtection="1">
      <alignment horizontal="center" vertical="center" wrapText="1"/>
    </xf>
    <xf numFmtId="0" fontId="22" fillId="18" borderId="17" xfId="6" applyFont="1" applyFill="1" applyBorder="1" applyAlignment="1" applyProtection="1">
      <alignment horizontal="center" vertical="center" wrapText="1"/>
    </xf>
    <xf numFmtId="0" fontId="22" fillId="0" borderId="11" xfId="6" applyFont="1" applyFill="1" applyBorder="1" applyAlignment="1">
      <alignment horizontal="left" vertical="center" wrapText="1" readingOrder="1"/>
    </xf>
    <xf numFmtId="0" fontId="22" fillId="0" borderId="17" xfId="6" applyFont="1" applyFill="1" applyBorder="1" applyAlignment="1">
      <alignment horizontal="left" vertical="center" wrapText="1" readingOrder="1"/>
    </xf>
    <xf numFmtId="14" fontId="22" fillId="0" borderId="11" xfId="6" applyNumberFormat="1" applyFont="1" applyFill="1" applyBorder="1" applyAlignment="1">
      <alignment horizontal="center" vertical="center" wrapText="1"/>
    </xf>
    <xf numFmtId="14" fontId="22" fillId="0" borderId="17" xfId="6" applyNumberFormat="1" applyFont="1" applyFill="1" applyBorder="1" applyAlignment="1">
      <alignment horizontal="center" vertical="center" wrapText="1"/>
    </xf>
    <xf numFmtId="165" fontId="9" fillId="7" borderId="6" xfId="5" applyNumberFormat="1" applyFont="1" applyFill="1" applyBorder="1" applyAlignment="1">
      <alignment horizontal="center" vertical="center" wrapText="1"/>
    </xf>
    <xf numFmtId="165" fontId="9" fillId="7" borderId="0" xfId="5" applyNumberFormat="1" applyFont="1" applyFill="1" applyBorder="1" applyAlignment="1">
      <alignment horizontal="center" vertical="center" wrapText="1"/>
    </xf>
    <xf numFmtId="0" fontId="2" fillId="10" borderId="22" xfId="6" applyFont="1" applyFill="1" applyBorder="1" applyAlignment="1" applyProtection="1">
      <alignment horizontal="center" vertical="center" wrapText="1"/>
      <protection locked="0"/>
    </xf>
    <xf numFmtId="0" fontId="2" fillId="10" borderId="27" xfId="6" applyFont="1" applyFill="1" applyBorder="1" applyAlignment="1" applyProtection="1">
      <alignment horizontal="center" vertical="center" wrapText="1"/>
      <protection locked="0"/>
    </xf>
    <xf numFmtId="0" fontId="2" fillId="10" borderId="28" xfId="6" applyFont="1" applyFill="1" applyBorder="1" applyAlignment="1" applyProtection="1">
      <alignment horizontal="center" vertical="center" wrapText="1"/>
      <protection locked="0"/>
    </xf>
    <xf numFmtId="0" fontId="2" fillId="10" borderId="23" xfId="6" applyFont="1" applyFill="1" applyBorder="1" applyAlignment="1" applyProtection="1">
      <alignment horizontal="center" vertical="center" wrapText="1"/>
      <protection locked="0"/>
    </xf>
    <xf numFmtId="0" fontId="2" fillId="10" borderId="21" xfId="6" applyFont="1" applyFill="1" applyBorder="1" applyAlignment="1" applyProtection="1">
      <alignment horizontal="center" vertical="center" wrapText="1"/>
      <protection locked="0"/>
    </xf>
    <xf numFmtId="0" fontId="2" fillId="10" borderId="29" xfId="6" applyFont="1" applyFill="1" applyBorder="1" applyAlignment="1" applyProtection="1">
      <alignment horizontal="center" vertical="center" wrapText="1"/>
      <protection locked="0"/>
    </xf>
    <xf numFmtId="14" fontId="2" fillId="10" borderId="23" xfId="6" applyNumberFormat="1" applyFont="1" applyFill="1" applyBorder="1" applyAlignment="1" applyProtection="1">
      <alignment horizontal="center" vertical="center" wrapText="1"/>
      <protection locked="0"/>
    </xf>
    <xf numFmtId="166" fontId="2" fillId="10" borderId="23" xfId="6" applyNumberFormat="1" applyFont="1" applyFill="1" applyBorder="1" applyAlignment="1" applyProtection="1">
      <alignment horizontal="center" vertical="center" wrapText="1"/>
      <protection locked="0"/>
    </xf>
    <xf numFmtId="166" fontId="2" fillId="10" borderId="21" xfId="6" applyNumberFormat="1" applyFont="1" applyFill="1" applyBorder="1" applyAlignment="1" applyProtection="1">
      <alignment horizontal="center" vertical="center" wrapText="1"/>
      <protection locked="0"/>
    </xf>
    <xf numFmtId="166" fontId="2" fillId="10" borderId="29" xfId="6" applyNumberFormat="1" applyFont="1" applyFill="1" applyBorder="1" applyAlignment="1" applyProtection="1">
      <alignment horizontal="center" vertical="center" wrapText="1"/>
      <protection locked="0"/>
    </xf>
    <xf numFmtId="165" fontId="2" fillId="10" borderId="2" xfId="4" applyNumberFormat="1" applyFont="1" applyFill="1" applyBorder="1" applyAlignment="1" applyProtection="1">
      <alignment horizontal="center" vertical="center" wrapText="1"/>
      <protection locked="0"/>
    </xf>
    <xf numFmtId="165" fontId="2" fillId="10" borderId="6" xfId="4" applyNumberFormat="1" applyFont="1" applyFill="1" applyBorder="1" applyAlignment="1" applyProtection="1">
      <alignment horizontal="center" vertical="center" wrapText="1"/>
      <protection locked="0"/>
    </xf>
    <xf numFmtId="165" fontId="2" fillId="10" borderId="30" xfId="4" applyNumberFormat="1" applyFont="1" applyFill="1" applyBorder="1" applyAlignment="1" applyProtection="1">
      <alignment horizontal="center" vertical="center" wrapText="1"/>
      <protection locked="0"/>
    </xf>
    <xf numFmtId="9" fontId="2" fillId="0" borderId="23" xfId="2" applyNumberFormat="1" applyFont="1" applyBorder="1" applyAlignment="1">
      <alignment horizontal="center" vertical="center"/>
    </xf>
    <xf numFmtId="9" fontId="2" fillId="0" borderId="29" xfId="2" applyNumberFormat="1" applyFont="1" applyBorder="1" applyAlignment="1">
      <alignment horizontal="center" vertical="center"/>
    </xf>
    <xf numFmtId="0" fontId="7" fillId="3" borderId="11" xfId="2" applyFont="1" applyFill="1" applyBorder="1" applyAlignment="1" applyProtection="1">
      <alignment horizontal="left" vertical="center" wrapText="1"/>
      <protection locked="0"/>
    </xf>
    <xf numFmtId="0" fontId="7" fillId="3" borderId="11" xfId="2" applyFont="1" applyFill="1" applyBorder="1" applyAlignment="1">
      <alignment horizontal="left" vertical="center" wrapText="1"/>
    </xf>
    <xf numFmtId="9" fontId="2" fillId="10" borderId="24" xfId="2" applyNumberFormat="1" applyFont="1" applyFill="1" applyBorder="1" applyAlignment="1">
      <alignment horizontal="center" vertical="center"/>
    </xf>
    <xf numFmtId="0" fontId="2" fillId="10" borderId="11" xfId="2" applyFont="1" applyFill="1" applyBorder="1" applyAlignment="1">
      <alignment horizontal="center" vertical="center"/>
    </xf>
    <xf numFmtId="0" fontId="2" fillId="10" borderId="17" xfId="2" applyFont="1" applyFill="1" applyBorder="1" applyAlignment="1">
      <alignment horizontal="center" vertical="center"/>
    </xf>
    <xf numFmtId="0" fontId="2" fillId="0" borderId="22" xfId="6" applyFont="1" applyFill="1" applyBorder="1" applyAlignment="1" applyProtection="1">
      <alignment horizontal="center" vertical="center" wrapText="1"/>
      <protection locked="0"/>
    </xf>
    <xf numFmtId="0" fontId="2" fillId="0" borderId="28" xfId="6" applyFont="1" applyFill="1" applyBorder="1" applyAlignment="1" applyProtection="1">
      <alignment horizontal="center" vertical="center" wrapText="1"/>
      <protection locked="0"/>
    </xf>
    <xf numFmtId="0" fontId="3" fillId="2" borderId="1"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5" fillId="2" borderId="2" xfId="2" applyFont="1" applyFill="1" applyBorder="1" applyAlignment="1">
      <alignment horizontal="right" vertical="center" wrapText="1"/>
    </xf>
    <xf numFmtId="0" fontId="5" fillId="2" borderId="4" xfId="2" applyFont="1" applyFill="1" applyBorder="1" applyAlignment="1">
      <alignment horizontal="right" vertical="center" wrapText="1"/>
    </xf>
    <xf numFmtId="0" fontId="5" fillId="2" borderId="7" xfId="2" applyFont="1" applyFill="1" applyBorder="1" applyAlignment="1">
      <alignment horizontal="right" vertical="center" wrapText="1"/>
    </xf>
    <xf numFmtId="0" fontId="5" fillId="2" borderId="8" xfId="2" applyFont="1" applyFill="1" applyBorder="1" applyAlignment="1">
      <alignment horizontal="right" vertical="center" wrapText="1"/>
    </xf>
    <xf numFmtId="0" fontId="5" fillId="2" borderId="9" xfId="2" applyFont="1" applyFill="1" applyBorder="1" applyAlignment="1">
      <alignment horizontal="right" vertical="center" wrapText="1"/>
    </xf>
    <xf numFmtId="0" fontId="5" fillId="2" borderId="10" xfId="2" applyFont="1" applyFill="1" applyBorder="1" applyAlignment="1">
      <alignment horizontal="right" vertical="center" wrapText="1"/>
    </xf>
    <xf numFmtId="0" fontId="7" fillId="0" borderId="5" xfId="2" applyFont="1" applyFill="1" applyBorder="1" applyAlignment="1" applyProtection="1">
      <alignment horizontal="left" vertical="center" wrapText="1"/>
      <protection locked="0"/>
    </xf>
    <xf numFmtId="0" fontId="7" fillId="0" borderId="15" xfId="2" applyFont="1" applyFill="1" applyBorder="1" applyAlignment="1" applyProtection="1">
      <alignment horizontal="left" vertical="center" wrapText="1"/>
      <protection locked="0"/>
    </xf>
    <xf numFmtId="0" fontId="2" fillId="0" borderId="11"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7" fillId="4" borderId="19" xfId="2" applyFont="1" applyFill="1" applyBorder="1" applyAlignment="1">
      <alignment horizontal="center" vertical="center" wrapText="1"/>
    </xf>
    <xf numFmtId="0" fontId="7" fillId="4" borderId="21" xfId="2" applyFont="1" applyFill="1" applyBorder="1" applyAlignment="1">
      <alignment horizontal="center" vertical="center" wrapText="1"/>
    </xf>
    <xf numFmtId="9" fontId="7" fillId="5" borderId="19" xfId="3" applyFont="1" applyFill="1" applyBorder="1" applyAlignment="1">
      <alignment horizontal="center" vertical="center" wrapText="1"/>
    </xf>
    <xf numFmtId="9" fontId="7" fillId="5" borderId="21" xfId="3"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20" xfId="2" applyFont="1" applyFill="1" applyBorder="1" applyAlignment="1">
      <alignment horizontal="center" vertical="center" wrapText="1"/>
    </xf>
    <xf numFmtId="165" fontId="7" fillId="6" borderId="19" xfId="4" applyNumberFormat="1" applyFont="1" applyFill="1" applyBorder="1" applyAlignment="1">
      <alignment horizontal="center" vertical="center" wrapText="1"/>
    </xf>
    <xf numFmtId="165" fontId="7" fillId="6" borderId="6" xfId="4" applyNumberFormat="1" applyFont="1" applyFill="1" applyBorder="1" applyAlignment="1">
      <alignment horizontal="center" vertical="center" wrapText="1"/>
    </xf>
    <xf numFmtId="0" fontId="7" fillId="0" borderId="16" xfId="2" applyFont="1" applyFill="1" applyBorder="1" applyAlignment="1" applyProtection="1">
      <alignment horizontal="left" vertical="center" wrapText="1"/>
      <protection locked="0"/>
    </xf>
    <xf numFmtId="0" fontId="7" fillId="0" borderId="17" xfId="2" applyFont="1" applyFill="1" applyBorder="1" applyAlignment="1" applyProtection="1">
      <alignment horizontal="left" vertical="center" wrapText="1"/>
      <protection locked="0"/>
    </xf>
    <xf numFmtId="14" fontId="2" fillId="0" borderId="17" xfId="2" applyNumberFormat="1" applyFont="1" applyFill="1" applyBorder="1" applyAlignment="1">
      <alignment horizontal="left" vertical="center" wrapText="1"/>
    </xf>
    <xf numFmtId="14" fontId="2" fillId="0" borderId="18" xfId="2" applyNumberFormat="1" applyFont="1" applyFill="1" applyBorder="1" applyAlignment="1">
      <alignment horizontal="left" vertical="center" wrapText="1"/>
    </xf>
    <xf numFmtId="0" fontId="7" fillId="0" borderId="6"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0" fontId="8" fillId="3" borderId="11" xfId="2" applyFont="1" applyFill="1" applyBorder="1" applyAlignment="1">
      <alignment horizontal="left" vertical="center" wrapText="1"/>
    </xf>
    <xf numFmtId="0" fontId="2" fillId="0" borderId="23" xfId="6" applyFont="1" applyFill="1" applyBorder="1" applyAlignment="1" applyProtection="1">
      <alignment horizontal="center" vertical="center" wrapText="1"/>
      <protection locked="0"/>
    </xf>
    <xf numFmtId="0" fontId="2" fillId="0" borderId="29" xfId="6" applyFont="1" applyFill="1" applyBorder="1" applyAlignment="1" applyProtection="1">
      <alignment horizontal="center" vertical="center" wrapText="1"/>
      <protection locked="0"/>
    </xf>
    <xf numFmtId="14" fontId="2" fillId="0" borderId="23" xfId="6" applyNumberFormat="1" applyFont="1" applyFill="1" applyBorder="1" applyAlignment="1" applyProtection="1">
      <alignment horizontal="center" vertical="center" wrapText="1"/>
      <protection locked="0"/>
    </xf>
    <xf numFmtId="14" fontId="2" fillId="0" borderId="29" xfId="6" applyNumberFormat="1" applyFont="1" applyFill="1" applyBorder="1" applyAlignment="1" applyProtection="1">
      <alignment horizontal="center" vertical="center" wrapText="1"/>
      <protection locked="0"/>
    </xf>
    <xf numFmtId="166" fontId="2" fillId="0" borderId="23" xfId="4" applyNumberFormat="1" applyFont="1" applyFill="1" applyBorder="1" applyAlignment="1" applyProtection="1">
      <alignment horizontal="center" vertical="center" wrapText="1"/>
      <protection locked="0"/>
    </xf>
    <xf numFmtId="166" fontId="2" fillId="0" borderId="29" xfId="4" applyNumberFormat="1" applyFont="1" applyFill="1" applyBorder="1" applyAlignment="1" applyProtection="1">
      <alignment horizontal="center" vertical="center" wrapText="1"/>
      <protection locked="0"/>
    </xf>
    <xf numFmtId="165" fontId="2" fillId="0" borderId="2" xfId="4" applyNumberFormat="1" applyFont="1" applyFill="1" applyBorder="1" applyAlignment="1" applyProtection="1">
      <alignment horizontal="center" vertical="center" wrapText="1"/>
      <protection locked="0"/>
    </xf>
    <xf numFmtId="165" fontId="2" fillId="0" borderId="30" xfId="4" applyNumberFormat="1" applyFont="1" applyFill="1" applyBorder="1" applyAlignment="1" applyProtection="1">
      <alignment horizontal="center" vertical="center" wrapText="1"/>
      <protection locked="0"/>
    </xf>
    <xf numFmtId="9" fontId="2" fillId="0" borderId="24" xfId="2" applyNumberFormat="1" applyFont="1" applyBorder="1" applyAlignment="1">
      <alignment horizontal="center" vertical="center"/>
    </xf>
    <xf numFmtId="0" fontId="2" fillId="0" borderId="17" xfId="2" applyFont="1" applyBorder="1" applyAlignment="1">
      <alignment horizontal="center" vertical="center"/>
    </xf>
    <xf numFmtId="0" fontId="7" fillId="4" borderId="11" xfId="2" applyFont="1" applyFill="1" applyBorder="1" applyAlignment="1">
      <alignment horizontal="center" vertical="center" wrapText="1"/>
    </xf>
    <xf numFmtId="0" fontId="7" fillId="5" borderId="11" xfId="2" applyFont="1" applyFill="1" applyBorder="1" applyAlignment="1">
      <alignment horizontal="center" vertical="center" wrapText="1"/>
    </xf>
    <xf numFmtId="165" fontId="7" fillId="6" borderId="11" xfId="4" applyNumberFormat="1" applyFont="1" applyFill="1" applyBorder="1" applyAlignment="1">
      <alignment horizontal="center" vertical="center" wrapText="1"/>
    </xf>
    <xf numFmtId="165" fontId="9" fillId="7" borderId="11" xfId="5" applyNumberFormat="1" applyFont="1" applyFill="1" applyBorder="1" applyAlignment="1">
      <alignment horizontal="center" vertical="center" wrapText="1"/>
    </xf>
    <xf numFmtId="0" fontId="2" fillId="0" borderId="11" xfId="2" applyFont="1" applyBorder="1" applyAlignment="1">
      <alignment horizontal="center" vertical="center" wrapText="1"/>
    </xf>
    <xf numFmtId="14" fontId="2" fillId="0" borderId="11" xfId="2" applyNumberFormat="1" applyFont="1" applyBorder="1" applyAlignment="1">
      <alignment horizontal="center" vertical="center" wrapText="1"/>
    </xf>
    <xf numFmtId="166" fontId="2" fillId="0" borderId="11" xfId="4" applyNumberFormat="1" applyFont="1" applyBorder="1" applyAlignment="1">
      <alignment horizontal="center" vertical="center" wrapText="1"/>
    </xf>
    <xf numFmtId="9" fontId="2" fillId="10" borderId="11" xfId="7" applyNumberFormat="1" applyFont="1" applyFill="1" applyBorder="1" applyAlignment="1">
      <alignment horizontal="center" vertical="center"/>
    </xf>
    <xf numFmtId="9" fontId="2" fillId="0" borderId="11" xfId="2" applyNumberFormat="1" applyFont="1" applyBorder="1" applyAlignment="1">
      <alignment horizontal="center" vertical="center"/>
    </xf>
    <xf numFmtId="0" fontId="2" fillId="0" borderId="11" xfId="2" applyFont="1" applyBorder="1" applyAlignment="1">
      <alignment horizontal="center" vertical="center"/>
    </xf>
    <xf numFmtId="165" fontId="9" fillId="7" borderId="9" xfId="5" applyNumberFormat="1" applyFont="1" applyFill="1" applyBorder="1" applyAlignment="1">
      <alignment horizontal="center" vertical="center" wrapText="1"/>
    </xf>
    <xf numFmtId="165" fontId="9" fillId="7" borderId="20" xfId="5" applyNumberFormat="1" applyFont="1" applyFill="1" applyBorder="1" applyAlignment="1">
      <alignment horizontal="center" vertical="center" wrapText="1"/>
    </xf>
    <xf numFmtId="9" fontId="2" fillId="0" borderId="19" xfId="2" applyNumberFormat="1" applyFont="1" applyBorder="1" applyAlignment="1">
      <alignment horizontal="center" vertical="center"/>
    </xf>
    <xf numFmtId="9" fontId="2" fillId="0" borderId="21" xfId="2" applyNumberFormat="1" applyFont="1" applyBorder="1" applyAlignment="1">
      <alignment horizontal="center" vertical="center"/>
    </xf>
    <xf numFmtId="9" fontId="2" fillId="0" borderId="15" xfId="2" applyNumberFormat="1" applyFont="1" applyBorder="1" applyAlignment="1">
      <alignment horizontal="center" vertical="center"/>
    </xf>
    <xf numFmtId="9" fontId="2" fillId="10" borderId="19" xfId="7" applyNumberFormat="1" applyFont="1" applyFill="1" applyBorder="1" applyAlignment="1">
      <alignment horizontal="center" vertical="center"/>
    </xf>
    <xf numFmtId="9" fontId="2" fillId="10" borderId="21" xfId="7" applyNumberFormat="1" applyFont="1" applyFill="1" applyBorder="1" applyAlignment="1">
      <alignment horizontal="center" vertical="center"/>
    </xf>
    <xf numFmtId="9" fontId="2" fillId="10" borderId="15" xfId="7" applyNumberFormat="1" applyFont="1" applyFill="1" applyBorder="1" applyAlignment="1">
      <alignment horizontal="center" vertical="center"/>
    </xf>
    <xf numFmtId="0" fontId="2" fillId="0" borderId="11" xfId="2" applyFont="1" applyFill="1" applyBorder="1" applyAlignment="1">
      <alignment horizontal="center" vertical="center" wrapText="1"/>
    </xf>
    <xf numFmtId="14" fontId="2" fillId="0" borderId="11" xfId="2" applyNumberFormat="1" applyFont="1" applyFill="1" applyBorder="1" applyAlignment="1">
      <alignment horizontal="center" vertical="center" wrapText="1"/>
    </xf>
    <xf numFmtId="166" fontId="2" fillId="0" borderId="11" xfId="8" applyNumberFormat="1" applyFont="1" applyFill="1" applyBorder="1" applyAlignment="1">
      <alignment horizontal="center" vertical="center" wrapText="1"/>
    </xf>
    <xf numFmtId="0" fontId="2" fillId="0" borderId="11" xfId="2" applyNumberFormat="1" applyFont="1" applyFill="1" applyBorder="1" applyAlignment="1">
      <alignment horizontal="center" vertical="center" wrapText="1"/>
    </xf>
    <xf numFmtId="9" fontId="2" fillId="0" borderId="17" xfId="2" applyNumberFormat="1" applyFont="1" applyBorder="1" applyAlignment="1">
      <alignment horizontal="center" vertical="center"/>
    </xf>
    <xf numFmtId="0" fontId="2" fillId="0" borderId="1"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16" xfId="2" applyFont="1" applyFill="1" applyBorder="1" applyAlignment="1">
      <alignment horizontal="center" vertical="center" wrapText="1"/>
    </xf>
    <xf numFmtId="0" fontId="2" fillId="0" borderId="24" xfId="2" applyFont="1" applyFill="1" applyBorder="1" applyAlignment="1">
      <alignment horizontal="center" vertical="center" wrapText="1"/>
    </xf>
    <xf numFmtId="0" fontId="2" fillId="0" borderId="17" xfId="2" applyFont="1" applyFill="1" applyBorder="1" applyAlignment="1">
      <alignment horizontal="center" vertical="center" wrapText="1"/>
    </xf>
    <xf numFmtId="14" fontId="2" fillId="0" borderId="24" xfId="2" applyNumberFormat="1" applyFont="1" applyFill="1" applyBorder="1" applyAlignment="1">
      <alignment horizontal="center" vertical="center" wrapText="1"/>
    </xf>
    <xf numFmtId="14" fontId="2" fillId="0" borderId="17" xfId="2" applyNumberFormat="1" applyFont="1" applyFill="1" applyBorder="1" applyAlignment="1">
      <alignment horizontal="center" vertical="center" wrapText="1"/>
    </xf>
    <xf numFmtId="166" fontId="2" fillId="0" borderId="24" xfId="8" applyNumberFormat="1" applyFont="1" applyFill="1" applyBorder="1" applyAlignment="1">
      <alignment horizontal="center" vertical="center" wrapText="1"/>
    </xf>
    <xf numFmtId="166" fontId="2" fillId="0" borderId="17" xfId="8" applyNumberFormat="1" applyFont="1" applyFill="1" applyBorder="1" applyAlignment="1">
      <alignment horizontal="center" vertical="center" wrapText="1"/>
    </xf>
    <xf numFmtId="9" fontId="2" fillId="0" borderId="24" xfId="2" applyNumberFormat="1" applyFont="1" applyBorder="1" applyAlignment="1">
      <alignment horizontal="center" vertical="center" wrapText="1"/>
    </xf>
    <xf numFmtId="9" fontId="2" fillId="0" borderId="11" xfId="2" applyNumberFormat="1" applyFont="1" applyBorder="1" applyAlignment="1">
      <alignment horizontal="center" vertical="center" wrapText="1"/>
    </xf>
    <xf numFmtId="9" fontId="2" fillId="0" borderId="17" xfId="2" applyNumberFormat="1" applyFont="1" applyBorder="1" applyAlignment="1">
      <alignment horizontal="center" vertical="center" wrapText="1"/>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17" xfId="2" applyFont="1" applyBorder="1" applyAlignment="1">
      <alignment horizontal="center" vertical="center" wrapText="1"/>
    </xf>
    <xf numFmtId="166" fontId="2" fillId="0" borderId="24" xfId="4" applyNumberFormat="1" applyFont="1" applyFill="1" applyBorder="1" applyAlignment="1">
      <alignment horizontal="center" vertical="center" wrapText="1"/>
    </xf>
    <xf numFmtId="166" fontId="2" fillId="0" borderId="11" xfId="4" applyNumberFormat="1" applyFont="1" applyFill="1" applyBorder="1" applyAlignment="1">
      <alignment horizontal="center" vertical="center" wrapText="1"/>
    </xf>
    <xf numFmtId="166" fontId="2" fillId="0" borderId="17" xfId="4" applyNumberFormat="1" applyFont="1" applyFill="1" applyBorder="1" applyAlignment="1">
      <alignment horizontal="center" vertical="center" wrapText="1"/>
    </xf>
    <xf numFmtId="165" fontId="2" fillId="0" borderId="24" xfId="4" applyNumberFormat="1" applyFont="1" applyBorder="1" applyAlignment="1">
      <alignment horizontal="center" vertical="center" wrapText="1"/>
    </xf>
    <xf numFmtId="165" fontId="2" fillId="0" borderId="11" xfId="4" applyNumberFormat="1" applyFont="1" applyBorder="1" applyAlignment="1">
      <alignment horizontal="center" vertical="center" wrapText="1"/>
    </xf>
    <xf numFmtId="165" fontId="2" fillId="0" borderId="17" xfId="4" applyNumberFormat="1" applyFont="1" applyBorder="1" applyAlignment="1">
      <alignment horizontal="center" vertical="center" wrapText="1"/>
    </xf>
    <xf numFmtId="9" fontId="2" fillId="10" borderId="24" xfId="7" applyNumberFormat="1" applyFont="1" applyFill="1" applyBorder="1" applyAlignment="1">
      <alignment horizontal="center" vertical="center"/>
    </xf>
    <xf numFmtId="9" fontId="2" fillId="10" borderId="17" xfId="7" applyNumberFormat="1" applyFont="1" applyFill="1" applyBorder="1" applyAlignment="1">
      <alignment horizontal="center" vertical="center"/>
    </xf>
    <xf numFmtId="14" fontId="2" fillId="0" borderId="24" xfId="2" applyNumberFormat="1" applyFont="1" applyBorder="1" applyAlignment="1">
      <alignment horizontal="center" vertical="center" wrapText="1"/>
    </xf>
    <xf numFmtId="14" fontId="2" fillId="0" borderId="17" xfId="2" applyNumberFormat="1" applyFont="1" applyBorder="1" applyAlignment="1">
      <alignment horizontal="center" vertical="center" wrapText="1"/>
    </xf>
  </cellXfs>
  <cellStyles count="12">
    <cellStyle name="Millares 2" xfId="4"/>
    <cellStyle name="Millares 2 2" xfId="5"/>
    <cellStyle name="Moneda 2" xfId="8"/>
    <cellStyle name="Normal" xfId="0" builtinId="0"/>
    <cellStyle name="Normal 2" xfId="2"/>
    <cellStyle name="Normal 2 2" xfId="6"/>
    <cellStyle name="Normal 5" xfId="9"/>
    <cellStyle name="Normal_Mapa de riesgo general (1)" xfId="10"/>
    <cellStyle name="Porcentaje" xfId="1" builtinId="5"/>
    <cellStyle name="Porcentaje 2" xfId="3"/>
    <cellStyle name="Porcentaje 2 2" xfId="7"/>
    <cellStyle name="Porcentaje 4" xfId="11"/>
  </cellStyles>
  <dxfs count="160">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1129392</xdr:colOff>
      <xdr:row>0</xdr:row>
      <xdr:rowOff>149678</xdr:rowOff>
    </xdr:from>
    <xdr:to>
      <xdr:col>2</xdr:col>
      <xdr:colOff>1015999</xdr:colOff>
      <xdr:row>3</xdr:row>
      <xdr:rowOff>43309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392" y="149678"/>
          <a:ext cx="1343932" cy="846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329534</xdr:colOff>
      <xdr:row>0</xdr:row>
      <xdr:rowOff>108857</xdr:rowOff>
    </xdr:from>
    <xdr:to>
      <xdr:col>0</xdr:col>
      <xdr:colOff>1172064</xdr:colOff>
      <xdr:row>3</xdr:row>
      <xdr:rowOff>169929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534" y="108857"/>
          <a:ext cx="842530" cy="78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en.rubio/AppData/Local/Microsoft/Windows/INetCache/Content.Outlook/NTP19OHY/Mapa%20riesgo%20anticorrupcion%20DIG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CORRUPCIÓN"/>
      <sheetName val="VALORACIÓN IMPACTO PROBABIL"/>
      <sheetName val="VALORACION CONTROLES"/>
      <sheetName val="MATRIZ RIESGOS CORRUPCION"/>
      <sheetName val="VALORACIÓN IMPACTO PROBA CORRUP"/>
      <sheetName val="VALORAC CONTROLES CORRUP"/>
      <sheetName val="MAPA DE RIESGOS CORRUPCION"/>
      <sheetName val="lista elegible"/>
      <sheetName val="MATRIZ RIESGOS"/>
      <sheetName val="Hoja1"/>
      <sheetName val="Hoja2"/>
      <sheetName val="MAPA RIESGOS CORRUPCIÓN 2019"/>
      <sheetName val="MAPA RIESGOS CORRUPCIÓN 2020"/>
    </sheetNames>
    <sheetDataSet>
      <sheetData sheetId="0"/>
      <sheetData sheetId="1"/>
      <sheetData sheetId="2">
        <row r="9">
          <cell r="L9">
            <v>85</v>
          </cell>
          <cell r="O9">
            <v>1</v>
          </cell>
        </row>
        <row r="11">
          <cell r="L11">
            <v>85</v>
          </cell>
        </row>
        <row r="13">
          <cell r="L13">
            <v>85</v>
          </cell>
        </row>
        <row r="22">
          <cell r="L22">
            <v>80</v>
          </cell>
          <cell r="O22">
            <v>0</v>
          </cell>
        </row>
        <row r="24">
          <cell r="L24">
            <v>80</v>
          </cell>
          <cell r="O24">
            <v>0</v>
          </cell>
        </row>
        <row r="65">
          <cell r="L65">
            <v>85</v>
          </cell>
          <cell r="O65">
            <v>1</v>
          </cell>
        </row>
        <row r="67">
          <cell r="L67">
            <v>100</v>
          </cell>
        </row>
        <row r="69">
          <cell r="L69">
            <v>85</v>
          </cell>
        </row>
        <row r="77">
          <cell r="L77">
            <v>100</v>
          </cell>
          <cell r="O77">
            <v>1</v>
          </cell>
        </row>
        <row r="92">
          <cell r="L92">
            <v>100</v>
          </cell>
          <cell r="O92">
            <v>2</v>
          </cell>
        </row>
        <row r="93">
          <cell r="O93">
            <v>0</v>
          </cell>
        </row>
        <row r="94">
          <cell r="L94">
            <v>100</v>
          </cell>
        </row>
        <row r="107">
          <cell r="L107">
            <v>100</v>
          </cell>
          <cell r="O107">
            <v>2</v>
          </cell>
        </row>
        <row r="122">
          <cell r="L122">
            <v>100</v>
          </cell>
          <cell r="O122">
            <v>2</v>
          </cell>
        </row>
        <row r="124">
          <cell r="L124">
            <v>100</v>
          </cell>
        </row>
        <row r="137">
          <cell r="L137">
            <v>95</v>
          </cell>
          <cell r="O137">
            <v>1</v>
          </cell>
        </row>
        <row r="152">
          <cell r="L152">
            <v>85</v>
          </cell>
          <cell r="O152">
            <v>1</v>
          </cell>
        </row>
        <row r="154">
          <cell r="L154">
            <v>85</v>
          </cell>
        </row>
        <row r="156">
          <cell r="L156">
            <v>100</v>
          </cell>
        </row>
        <row r="167">
          <cell r="L167">
            <v>100</v>
          </cell>
          <cell r="O167">
            <v>1</v>
          </cell>
        </row>
        <row r="169">
          <cell r="L169">
            <v>85</v>
          </cell>
        </row>
        <row r="171">
          <cell r="L171">
            <v>100</v>
          </cell>
        </row>
        <row r="182">
          <cell r="L182">
            <v>85</v>
          </cell>
          <cell r="O182">
            <v>1</v>
          </cell>
        </row>
        <row r="184">
          <cell r="L184">
            <v>85</v>
          </cell>
        </row>
        <row r="193">
          <cell r="L193">
            <v>100</v>
          </cell>
          <cell r="O193">
            <v>1</v>
          </cell>
        </row>
        <row r="195">
          <cell r="L195">
            <v>95</v>
          </cell>
        </row>
        <row r="197">
          <cell r="L197">
            <v>100</v>
          </cell>
        </row>
        <row r="208">
          <cell r="N208">
            <v>100</v>
          </cell>
          <cell r="O208">
            <v>1</v>
          </cell>
        </row>
        <row r="210">
          <cell r="N210">
            <v>50</v>
          </cell>
          <cell r="O210">
            <v>0</v>
          </cell>
        </row>
        <row r="212">
          <cell r="N212">
            <v>100</v>
          </cell>
          <cell r="O212">
            <v>0</v>
          </cell>
        </row>
        <row r="223">
          <cell r="L223">
            <v>100</v>
          </cell>
          <cell r="O223">
            <v>2</v>
          </cell>
        </row>
        <row r="225">
          <cell r="L225">
            <v>100</v>
          </cell>
        </row>
        <row r="238">
          <cell r="L238">
            <v>100</v>
          </cell>
          <cell r="O238">
            <v>2</v>
          </cell>
        </row>
        <row r="240">
          <cell r="L240">
            <v>100</v>
          </cell>
        </row>
        <row r="253">
          <cell r="L253">
            <v>100</v>
          </cell>
          <cell r="O253">
            <v>2</v>
          </cell>
        </row>
        <row r="255">
          <cell r="L255">
            <v>100</v>
          </cell>
        </row>
        <row r="257">
          <cell r="L257">
            <v>100</v>
          </cell>
        </row>
        <row r="259">
          <cell r="L259">
            <v>100</v>
          </cell>
        </row>
        <row r="268">
          <cell r="L268">
            <v>100</v>
          </cell>
          <cell r="O268">
            <v>2</v>
          </cell>
        </row>
        <row r="270">
          <cell r="L270">
            <v>100</v>
          </cell>
          <cell r="O270">
            <v>0</v>
          </cell>
        </row>
        <row r="272">
          <cell r="L272">
            <v>100</v>
          </cell>
          <cell r="O272">
            <v>0</v>
          </cell>
        </row>
        <row r="283">
          <cell r="L283">
            <v>100</v>
          </cell>
          <cell r="O283">
            <v>2</v>
          </cell>
        </row>
        <row r="298">
          <cell r="L298">
            <v>95</v>
          </cell>
          <cell r="O298">
            <v>1</v>
          </cell>
        </row>
        <row r="300">
          <cell r="L300">
            <v>100</v>
          </cell>
        </row>
        <row r="302">
          <cell r="L302">
            <v>100</v>
          </cell>
        </row>
        <row r="313">
          <cell r="L313">
            <v>95</v>
          </cell>
          <cell r="O313">
            <v>1</v>
          </cell>
        </row>
        <row r="315">
          <cell r="L315">
            <v>85</v>
          </cell>
        </row>
        <row r="568">
          <cell r="L568">
            <v>100</v>
          </cell>
          <cell r="O568">
            <v>2</v>
          </cell>
        </row>
        <row r="570">
          <cell r="L570">
            <v>100</v>
          </cell>
          <cell r="O570">
            <v>0</v>
          </cell>
        </row>
        <row r="572">
          <cell r="L572">
            <v>100</v>
          </cell>
          <cell r="O572">
            <v>0</v>
          </cell>
        </row>
        <row r="574">
          <cell r="L574">
            <v>100</v>
          </cell>
          <cell r="O574">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I73"/>
  <sheetViews>
    <sheetView showGridLines="0" view="pageBreakPreview" topLeftCell="D1" zoomScale="60" zoomScaleNormal="70" workbookViewId="0">
      <selection activeCell="D1" sqref="D1:X4"/>
    </sheetView>
  </sheetViews>
  <sheetFormatPr baseColWidth="10" defaultColWidth="11.42578125" defaultRowHeight="15" x14ac:dyDescent="0.25"/>
  <cols>
    <col min="1" max="1" width="2.7109375" hidden="1" customWidth="1"/>
    <col min="2" max="2" width="21.85546875" customWidth="1"/>
    <col min="3" max="3" width="36.85546875" customWidth="1"/>
    <col min="4" max="4" width="32.85546875" customWidth="1"/>
    <col min="5" max="5" width="32.28515625" customWidth="1"/>
    <col min="6" max="6" width="3.7109375" customWidth="1"/>
    <col min="7" max="7" width="13.7109375" customWidth="1"/>
    <col min="8" max="8" width="5.5703125" customWidth="1"/>
    <col min="9" max="9" width="14.140625" customWidth="1"/>
    <col min="10" max="10" width="5.5703125" customWidth="1"/>
    <col min="11" max="11" width="13.7109375" customWidth="1"/>
    <col min="12" max="12" width="66.7109375" customWidth="1"/>
    <col min="13" max="13" width="15.42578125" customWidth="1"/>
    <col min="14" max="14" width="12.5703125" customWidth="1"/>
    <col min="15" max="15" width="12.28515625" customWidth="1"/>
    <col min="16" max="16" width="13" customWidth="1"/>
    <col min="17" max="17" width="11" customWidth="1"/>
    <col min="18" max="18" width="13.28515625" customWidth="1"/>
    <col min="19" max="19" width="7.7109375" customWidth="1"/>
    <col min="20" max="20" width="19.7109375" customWidth="1"/>
    <col min="21" max="21" width="35.7109375" customWidth="1"/>
    <col min="22" max="22" width="21.85546875" customWidth="1"/>
    <col min="23" max="23" width="22.85546875" customWidth="1"/>
    <col min="24" max="24" width="24.7109375" customWidth="1"/>
    <col min="25" max="25" width="31.5703125" hidden="1" customWidth="1"/>
    <col min="26" max="26" width="27.140625" hidden="1" customWidth="1"/>
    <col min="27" max="27" width="19.28515625" hidden="1" customWidth="1"/>
    <col min="28" max="28" width="23.5703125" hidden="1" customWidth="1"/>
    <col min="29" max="29" width="22" hidden="1" customWidth="1"/>
    <col min="30" max="30" width="21.7109375" hidden="1" customWidth="1"/>
    <col min="31" max="31" width="23.28515625" hidden="1" customWidth="1"/>
    <col min="32" max="32" width="86.7109375" hidden="1" customWidth="1"/>
    <col min="33" max="33" width="69.5703125" customWidth="1"/>
    <col min="34" max="34" width="27.28515625" customWidth="1"/>
    <col min="36" max="16384" width="11.42578125" style="228"/>
  </cols>
  <sheetData>
    <row r="1" spans="1:35" s="215" customFormat="1" ht="40.5" customHeight="1" x14ac:dyDescent="0.3">
      <c r="A1" s="213"/>
      <c r="B1" s="277"/>
      <c r="C1" s="278"/>
      <c r="D1" s="283" t="s">
        <v>202</v>
      </c>
      <c r="E1" s="283"/>
      <c r="F1" s="283"/>
      <c r="G1" s="283"/>
      <c r="H1" s="283"/>
      <c r="I1" s="283"/>
      <c r="J1" s="283"/>
      <c r="K1" s="283"/>
      <c r="L1" s="283"/>
      <c r="M1" s="283"/>
      <c r="N1" s="283"/>
      <c r="O1" s="283"/>
      <c r="P1" s="283"/>
      <c r="Q1" s="283"/>
      <c r="R1" s="283"/>
      <c r="S1" s="283"/>
      <c r="T1" s="283"/>
      <c r="U1" s="283"/>
      <c r="V1" s="283"/>
      <c r="W1" s="283"/>
      <c r="X1" s="283"/>
      <c r="Y1" s="284" t="s">
        <v>203</v>
      </c>
      <c r="Z1" s="284"/>
      <c r="AA1" s="284"/>
      <c r="AB1" s="214"/>
      <c r="AC1" s="214"/>
      <c r="AD1" s="214"/>
      <c r="AE1" s="214"/>
      <c r="AF1" s="214"/>
      <c r="AG1" s="214"/>
      <c r="AH1" s="214"/>
      <c r="AI1" s="214"/>
    </row>
    <row r="2" spans="1:35" s="215" customFormat="1" ht="17.25" customHeight="1" thickBot="1" x14ac:dyDescent="0.35">
      <c r="A2" s="216"/>
      <c r="B2" s="279"/>
      <c r="C2" s="280"/>
      <c r="D2" s="283"/>
      <c r="E2" s="283"/>
      <c r="F2" s="283"/>
      <c r="G2" s="283"/>
      <c r="H2" s="283"/>
      <c r="I2" s="283"/>
      <c r="J2" s="283"/>
      <c r="K2" s="283"/>
      <c r="L2" s="283"/>
      <c r="M2" s="283"/>
      <c r="N2" s="283"/>
      <c r="O2" s="283"/>
      <c r="P2" s="283"/>
      <c r="Q2" s="283"/>
      <c r="R2" s="283"/>
      <c r="S2" s="283"/>
      <c r="T2" s="283"/>
      <c r="U2" s="283"/>
      <c r="V2" s="283"/>
      <c r="W2" s="283"/>
      <c r="X2" s="283"/>
      <c r="Y2" s="285" t="s">
        <v>204</v>
      </c>
      <c r="Z2" s="285"/>
      <c r="AA2" s="285"/>
      <c r="AB2" s="214"/>
      <c r="AC2" s="214"/>
      <c r="AD2" s="214"/>
      <c r="AE2" s="214"/>
      <c r="AF2" s="214"/>
      <c r="AG2" s="214"/>
      <c r="AH2" s="214"/>
      <c r="AI2" s="214"/>
    </row>
    <row r="3" spans="1:35" s="215" customFormat="1" ht="17.25" customHeight="1" x14ac:dyDescent="0.25">
      <c r="A3" s="217"/>
      <c r="B3" s="279"/>
      <c r="C3" s="280"/>
      <c r="D3" s="283"/>
      <c r="E3" s="283"/>
      <c r="F3" s="283"/>
      <c r="G3" s="283"/>
      <c r="H3" s="283"/>
      <c r="I3" s="283"/>
      <c r="J3" s="283"/>
      <c r="K3" s="283"/>
      <c r="L3" s="283"/>
      <c r="M3" s="283"/>
      <c r="N3" s="283"/>
      <c r="O3" s="283"/>
      <c r="P3" s="283"/>
      <c r="Q3" s="283"/>
      <c r="R3" s="283"/>
      <c r="S3" s="283"/>
      <c r="T3" s="283"/>
      <c r="U3" s="283"/>
      <c r="V3" s="283"/>
      <c r="W3" s="283"/>
      <c r="X3" s="283"/>
      <c r="Y3" s="218" t="s">
        <v>3</v>
      </c>
      <c r="Z3" s="286" t="s">
        <v>4</v>
      </c>
      <c r="AA3" s="286"/>
      <c r="AB3" s="214"/>
      <c r="AC3" s="214"/>
      <c r="AD3" s="214"/>
      <c r="AE3" s="214"/>
      <c r="AF3" s="214"/>
      <c r="AG3" s="214"/>
      <c r="AH3" s="214"/>
      <c r="AI3" s="214"/>
    </row>
    <row r="4" spans="1:35" s="215" customFormat="1" ht="8.25" customHeight="1" x14ac:dyDescent="0.2">
      <c r="A4" s="219"/>
      <c r="B4" s="281"/>
      <c r="C4" s="282"/>
      <c r="D4" s="283"/>
      <c r="E4" s="283"/>
      <c r="F4" s="283"/>
      <c r="G4" s="283"/>
      <c r="H4" s="283"/>
      <c r="I4" s="283"/>
      <c r="J4" s="283"/>
      <c r="K4" s="283"/>
      <c r="L4" s="283"/>
      <c r="M4" s="283"/>
      <c r="N4" s="283"/>
      <c r="O4" s="283"/>
      <c r="P4" s="283"/>
      <c r="Q4" s="283"/>
      <c r="R4" s="283"/>
      <c r="S4" s="283"/>
      <c r="T4" s="283"/>
      <c r="U4" s="283"/>
      <c r="V4" s="283"/>
      <c r="W4" s="283"/>
      <c r="X4" s="283"/>
      <c r="Y4" s="220">
        <v>1</v>
      </c>
      <c r="Z4" s="287" t="s">
        <v>6</v>
      </c>
      <c r="AA4" s="287"/>
      <c r="AB4" s="214"/>
      <c r="AC4" s="214"/>
      <c r="AD4" s="214"/>
      <c r="AE4" s="214"/>
      <c r="AF4" s="214"/>
      <c r="AG4" s="214"/>
      <c r="AH4" s="214"/>
      <c r="AI4" s="214"/>
    </row>
    <row r="5" spans="1:35" ht="15.75" customHeight="1" x14ac:dyDescent="0.25">
      <c r="A5" s="221"/>
      <c r="B5" s="222" t="s">
        <v>205</v>
      </c>
      <c r="C5" s="223"/>
      <c r="D5" s="224"/>
      <c r="E5" s="223"/>
      <c r="F5" s="223"/>
      <c r="G5" s="223"/>
      <c r="H5" s="223"/>
      <c r="I5" s="223"/>
      <c r="J5" s="223"/>
      <c r="K5" s="223"/>
      <c r="L5" s="225"/>
      <c r="M5" s="226"/>
      <c r="N5" s="226"/>
      <c r="O5" s="223"/>
      <c r="P5" s="223"/>
      <c r="Q5" s="223"/>
      <c r="R5" s="223"/>
      <c r="S5" s="223"/>
      <c r="T5" s="223"/>
      <c r="U5" s="223"/>
      <c r="V5" s="223"/>
      <c r="W5" s="223"/>
      <c r="X5" s="227"/>
      <c r="Y5" s="223"/>
      <c r="Z5" s="223"/>
      <c r="AA5" s="223"/>
      <c r="AB5" s="223"/>
      <c r="AC5" s="223"/>
      <c r="AD5" s="223"/>
      <c r="AE5" s="223"/>
      <c r="AF5" s="223"/>
      <c r="AG5" s="223"/>
      <c r="AH5" s="223"/>
    </row>
    <row r="6" spans="1:35" ht="27.75" x14ac:dyDescent="0.4">
      <c r="A6" s="221"/>
      <c r="B6" s="301" t="s">
        <v>206</v>
      </c>
      <c r="C6" s="302"/>
      <c r="D6" s="302"/>
      <c r="E6" s="302"/>
      <c r="F6" s="302"/>
      <c r="G6" s="302"/>
      <c r="H6" s="302"/>
      <c r="I6" s="302"/>
      <c r="J6" s="302"/>
      <c r="K6" s="302"/>
      <c r="L6" s="302"/>
      <c r="M6" s="302"/>
      <c r="N6" s="302"/>
      <c r="O6" s="302"/>
      <c r="P6" s="302"/>
      <c r="Q6" s="302"/>
      <c r="R6" s="302"/>
      <c r="S6" s="302"/>
      <c r="T6" s="302"/>
      <c r="U6" s="302"/>
      <c r="V6" s="302"/>
      <c r="W6" s="302"/>
      <c r="X6" s="303"/>
      <c r="Y6" s="229"/>
      <c r="Z6" s="229"/>
      <c r="AA6" s="229"/>
      <c r="AB6" s="223"/>
      <c r="AC6" s="223"/>
      <c r="AD6" s="223"/>
      <c r="AE6" s="223"/>
      <c r="AF6" s="223"/>
      <c r="AG6" s="223"/>
      <c r="AH6" s="223"/>
    </row>
    <row r="7" spans="1:35" ht="19.149999999999999" customHeight="1" x14ac:dyDescent="0.25">
      <c r="A7" s="221"/>
      <c r="B7" s="290" t="s">
        <v>207</v>
      </c>
      <c r="C7" s="290"/>
      <c r="D7" s="290"/>
      <c r="E7" s="291"/>
      <c r="F7" s="304" t="s">
        <v>208</v>
      </c>
      <c r="G7" s="304"/>
      <c r="H7" s="304"/>
      <c r="I7" s="304"/>
      <c r="J7" s="304"/>
      <c r="K7" s="304"/>
      <c r="L7" s="304"/>
      <c r="M7" s="304"/>
      <c r="N7" s="304"/>
      <c r="O7" s="304"/>
      <c r="P7" s="304"/>
      <c r="Q7" s="304"/>
      <c r="R7" s="304"/>
      <c r="S7" s="304"/>
      <c r="T7" s="304"/>
      <c r="U7" s="304"/>
      <c r="V7" s="304"/>
      <c r="W7" s="304"/>
      <c r="X7" s="304"/>
      <c r="Y7" s="304"/>
      <c r="Z7" s="304"/>
      <c r="AA7" s="304"/>
      <c r="AB7" s="223"/>
      <c r="AC7" s="223"/>
      <c r="AD7" s="223"/>
      <c r="AE7" s="223"/>
      <c r="AF7" s="223"/>
      <c r="AG7" s="223"/>
      <c r="AH7" s="223"/>
    </row>
    <row r="8" spans="1:35" ht="30.6" customHeight="1" x14ac:dyDescent="0.25">
      <c r="A8" s="221"/>
      <c r="B8" s="293"/>
      <c r="C8" s="293"/>
      <c r="D8" s="293"/>
      <c r="E8" s="294"/>
      <c r="F8" s="288" t="s">
        <v>209</v>
      </c>
      <c r="G8" s="288"/>
      <c r="H8" s="288"/>
      <c r="I8" s="288"/>
      <c r="J8" s="288"/>
      <c r="K8" s="288"/>
      <c r="L8" s="288"/>
      <c r="M8" s="288"/>
      <c r="N8" s="288"/>
      <c r="O8" s="305" t="s">
        <v>210</v>
      </c>
      <c r="P8" s="305"/>
      <c r="Q8" s="305"/>
      <c r="R8" s="305"/>
      <c r="S8" s="305"/>
      <c r="T8" s="305"/>
      <c r="U8" s="304" t="s">
        <v>211</v>
      </c>
      <c r="V8" s="306"/>
      <c r="W8" s="306"/>
      <c r="X8" s="306"/>
      <c r="Y8" s="304" t="s">
        <v>212</v>
      </c>
      <c r="Z8" s="304"/>
      <c r="AA8" s="304"/>
      <c r="AB8" s="223"/>
      <c r="AC8" s="223"/>
      <c r="AD8" s="223"/>
      <c r="AE8" s="223"/>
      <c r="AF8" s="223"/>
      <c r="AG8" s="223"/>
      <c r="AH8" s="223"/>
    </row>
    <row r="9" spans="1:35" ht="21" customHeight="1" x14ac:dyDescent="0.25">
      <c r="A9" s="221"/>
      <c r="B9" s="288" t="s">
        <v>213</v>
      </c>
      <c r="C9" s="309" t="s">
        <v>214</v>
      </c>
      <c r="D9" s="304" t="s">
        <v>215</v>
      </c>
      <c r="E9" s="304" t="s">
        <v>216</v>
      </c>
      <c r="F9" s="304" t="s">
        <v>208</v>
      </c>
      <c r="G9" s="304"/>
      <c r="H9" s="304"/>
      <c r="I9" s="304"/>
      <c r="J9" s="304"/>
      <c r="K9" s="304"/>
      <c r="L9" s="288" t="s">
        <v>217</v>
      </c>
      <c r="M9" s="288"/>
      <c r="N9" s="288"/>
      <c r="O9" s="304" t="s">
        <v>218</v>
      </c>
      <c r="P9" s="304"/>
      <c r="Q9" s="304"/>
      <c r="R9" s="304"/>
      <c r="S9" s="304"/>
      <c r="T9" s="304"/>
      <c r="U9" s="308" t="s">
        <v>205</v>
      </c>
      <c r="V9" s="308" t="s">
        <v>219</v>
      </c>
      <c r="W9" s="308" t="s">
        <v>220</v>
      </c>
      <c r="X9" s="308" t="s">
        <v>221</v>
      </c>
      <c r="Y9" s="308" t="s">
        <v>222</v>
      </c>
      <c r="Z9" s="307" t="s">
        <v>223</v>
      </c>
      <c r="AA9" s="308" t="s">
        <v>224</v>
      </c>
      <c r="AB9" s="328" t="s">
        <v>23</v>
      </c>
      <c r="AC9" s="328"/>
      <c r="AD9" s="328"/>
      <c r="AE9" s="328"/>
      <c r="AF9" s="328"/>
      <c r="AG9" s="329" t="s">
        <v>225</v>
      </c>
      <c r="AH9" s="313" t="s">
        <v>226</v>
      </c>
    </row>
    <row r="10" spans="1:35" ht="14.25" customHeight="1" x14ac:dyDescent="0.25">
      <c r="A10" s="221"/>
      <c r="B10" s="288"/>
      <c r="C10" s="310"/>
      <c r="D10" s="304"/>
      <c r="E10" s="304"/>
      <c r="F10" s="289" t="s">
        <v>227</v>
      </c>
      <c r="G10" s="290"/>
      <c r="H10" s="290"/>
      <c r="I10" s="290"/>
      <c r="J10" s="290"/>
      <c r="K10" s="291"/>
      <c r="L10" s="295" t="s">
        <v>228</v>
      </c>
      <c r="M10" s="296"/>
      <c r="N10" s="297"/>
      <c r="O10" s="304"/>
      <c r="P10" s="304"/>
      <c r="Q10" s="304"/>
      <c r="R10" s="304"/>
      <c r="S10" s="304"/>
      <c r="T10" s="304"/>
      <c r="U10" s="308"/>
      <c r="V10" s="308"/>
      <c r="W10" s="308"/>
      <c r="X10" s="308"/>
      <c r="Y10" s="308"/>
      <c r="Z10" s="307"/>
      <c r="AA10" s="308"/>
      <c r="AB10" s="328"/>
      <c r="AC10" s="328"/>
      <c r="AD10" s="328"/>
      <c r="AE10" s="328"/>
      <c r="AF10" s="328"/>
      <c r="AG10" s="329"/>
      <c r="AH10" s="313"/>
    </row>
    <row r="11" spans="1:35" ht="13.9" customHeight="1" x14ac:dyDescent="0.25">
      <c r="A11" s="221"/>
      <c r="B11" s="288"/>
      <c r="C11" s="310"/>
      <c r="D11" s="304"/>
      <c r="E11" s="304"/>
      <c r="F11" s="292"/>
      <c r="G11" s="293"/>
      <c r="H11" s="293"/>
      <c r="I11" s="293"/>
      <c r="J11" s="293"/>
      <c r="K11" s="294"/>
      <c r="L11" s="298"/>
      <c r="M11" s="299"/>
      <c r="N11" s="300"/>
      <c r="O11" s="314" t="s">
        <v>229</v>
      </c>
      <c r="P11" s="315"/>
      <c r="Q11" s="314" t="s">
        <v>230</v>
      </c>
      <c r="R11" s="315"/>
      <c r="S11" s="289" t="s">
        <v>231</v>
      </c>
      <c r="T11" s="291"/>
      <c r="U11" s="308"/>
      <c r="V11" s="308"/>
      <c r="W11" s="308"/>
      <c r="X11" s="308"/>
      <c r="Y11" s="308"/>
      <c r="Z11" s="307"/>
      <c r="AA11" s="308"/>
      <c r="AB11" s="328"/>
      <c r="AC11" s="328"/>
      <c r="AD11" s="328"/>
      <c r="AE11" s="328"/>
      <c r="AF11" s="328"/>
      <c r="AG11" s="329"/>
      <c r="AH11" s="313"/>
    </row>
    <row r="12" spans="1:35" ht="41.25" customHeight="1" thickBot="1" x14ac:dyDescent="0.3">
      <c r="A12" s="221"/>
      <c r="B12" s="288"/>
      <c r="C12" s="311"/>
      <c r="D12" s="304"/>
      <c r="E12" s="312"/>
      <c r="F12" s="309" t="s">
        <v>229</v>
      </c>
      <c r="G12" s="309"/>
      <c r="H12" s="309" t="s">
        <v>230</v>
      </c>
      <c r="I12" s="309"/>
      <c r="J12" s="309" t="s">
        <v>232</v>
      </c>
      <c r="K12" s="309"/>
      <c r="L12" s="230" t="s">
        <v>233</v>
      </c>
      <c r="M12" s="230" t="s">
        <v>234</v>
      </c>
      <c r="N12" s="230" t="s">
        <v>235</v>
      </c>
      <c r="O12" s="230" t="s">
        <v>236</v>
      </c>
      <c r="P12" s="230" t="s">
        <v>237</v>
      </c>
      <c r="Q12" s="230" t="s">
        <v>236</v>
      </c>
      <c r="R12" s="230" t="s">
        <v>237</v>
      </c>
      <c r="S12" s="292"/>
      <c r="T12" s="294"/>
      <c r="U12" s="308"/>
      <c r="V12" s="308"/>
      <c r="W12" s="308"/>
      <c r="X12" s="308"/>
      <c r="Y12" s="308"/>
      <c r="Z12" s="307"/>
      <c r="AA12" s="308"/>
      <c r="AB12" s="231" t="s">
        <v>33</v>
      </c>
      <c r="AC12" s="231" t="s">
        <v>34</v>
      </c>
      <c r="AD12" s="231" t="s">
        <v>76</v>
      </c>
      <c r="AE12" s="231" t="s">
        <v>238</v>
      </c>
      <c r="AF12" s="23" t="s">
        <v>239</v>
      </c>
      <c r="AG12" s="329"/>
      <c r="AH12" s="313"/>
    </row>
    <row r="13" spans="1:35" s="238" customFormat="1" ht="135.6" customHeight="1" x14ac:dyDescent="0.2">
      <c r="A13" s="232">
        <v>1</v>
      </c>
      <c r="B13" s="318" t="s">
        <v>240</v>
      </c>
      <c r="C13" s="233" t="s">
        <v>241</v>
      </c>
      <c r="D13" s="321" t="s">
        <v>242</v>
      </c>
      <c r="E13" s="324" t="s">
        <v>243</v>
      </c>
      <c r="F13" s="316">
        <f>IF($G13="Rara vez",1,IF($G13="Improbable",2,IF($G13="Posible",3,IF($G13="Probable",4, IF($G13="Casi seguro",5,)))))</f>
        <v>3</v>
      </c>
      <c r="G13" s="316" t="s">
        <v>244</v>
      </c>
      <c r="H13" s="316">
        <f>IF($I13="Moderado",5,IF($I13="Mayor",10,IF($I13="Catastrófico",20,)))</f>
        <v>10</v>
      </c>
      <c r="I13" s="316" t="s">
        <v>245</v>
      </c>
      <c r="J13" s="316">
        <f>+$F13*$H13</f>
        <v>30</v>
      </c>
      <c r="K13" s="316" t="s">
        <v>246</v>
      </c>
      <c r="L13" s="234" t="s">
        <v>247</v>
      </c>
      <c r="M13" s="235">
        <f>+'[1]VALORACION CONTROLES'!L9</f>
        <v>85</v>
      </c>
      <c r="N13" s="316">
        <f>+'[1]VALORACION CONTROLES'!O9</f>
        <v>1</v>
      </c>
      <c r="O13" s="316">
        <f>IF($P13="Rara vez",1,IF($P13="Improbable",2,IF($P13="Posible",3,IF($P13="Probable",4, IF($P13="Casi seguro",5,)))))</f>
        <v>2</v>
      </c>
      <c r="P13" s="316" t="s">
        <v>248</v>
      </c>
      <c r="Q13" s="316">
        <f>IF($I13="Moderado",5,IF($I13="Mayor",10,IF($I13="Catastrófico",20,)))</f>
        <v>10</v>
      </c>
      <c r="R13" s="316" t="s">
        <v>245</v>
      </c>
      <c r="S13" s="316">
        <f>+O13*Q13</f>
        <v>20</v>
      </c>
      <c r="T13" s="316" t="s">
        <v>249</v>
      </c>
      <c r="U13" s="352" t="s">
        <v>250</v>
      </c>
      <c r="V13" s="355" t="s">
        <v>251</v>
      </c>
      <c r="W13" s="339" t="s">
        <v>46</v>
      </c>
      <c r="X13" s="339" t="s">
        <v>252</v>
      </c>
      <c r="Y13" s="342"/>
      <c r="Z13" s="342"/>
      <c r="AA13" s="330"/>
      <c r="AB13" s="236"/>
      <c r="AC13" s="236"/>
      <c r="AD13" s="236"/>
      <c r="AE13" s="236"/>
      <c r="AF13" s="236"/>
      <c r="AG13" s="333" t="s">
        <v>253</v>
      </c>
      <c r="AH13" s="336">
        <f>100%/3</f>
        <v>0.33333333333333331</v>
      </c>
      <c r="AI13" s="237"/>
    </row>
    <row r="14" spans="1:35" s="238" customFormat="1" ht="127.9" customHeight="1" x14ac:dyDescent="0.2">
      <c r="A14" s="239"/>
      <c r="B14" s="319"/>
      <c r="C14" s="240" t="s">
        <v>254</v>
      </c>
      <c r="D14" s="322"/>
      <c r="E14" s="325" t="s">
        <v>243</v>
      </c>
      <c r="F14" s="317"/>
      <c r="G14" s="317"/>
      <c r="H14" s="317"/>
      <c r="I14" s="317"/>
      <c r="J14" s="317"/>
      <c r="K14" s="317"/>
      <c r="L14" s="241" t="s">
        <v>255</v>
      </c>
      <c r="M14" s="242">
        <f>+'[1]VALORACION CONTROLES'!L11</f>
        <v>85</v>
      </c>
      <c r="N14" s="317"/>
      <c r="O14" s="317"/>
      <c r="P14" s="317"/>
      <c r="Q14" s="317"/>
      <c r="R14" s="317"/>
      <c r="S14" s="317"/>
      <c r="T14" s="317"/>
      <c r="U14" s="353"/>
      <c r="V14" s="356"/>
      <c r="W14" s="340"/>
      <c r="X14" s="340"/>
      <c r="Y14" s="343"/>
      <c r="Z14" s="359"/>
      <c r="AA14" s="331"/>
      <c r="AB14" s="243"/>
      <c r="AC14" s="243"/>
      <c r="AD14" s="243"/>
      <c r="AE14" s="243"/>
      <c r="AF14" s="243"/>
      <c r="AG14" s="334"/>
      <c r="AH14" s="337"/>
    </row>
    <row r="15" spans="1:35" s="238" customFormat="1" ht="108" customHeight="1" thickBot="1" x14ac:dyDescent="0.25">
      <c r="A15" s="244"/>
      <c r="B15" s="320"/>
      <c r="C15" s="245" t="s">
        <v>256</v>
      </c>
      <c r="D15" s="323"/>
      <c r="E15" s="326"/>
      <c r="F15" s="327"/>
      <c r="G15" s="327"/>
      <c r="H15" s="327"/>
      <c r="I15" s="327"/>
      <c r="J15" s="327"/>
      <c r="K15" s="327"/>
      <c r="L15" s="246" t="s">
        <v>257</v>
      </c>
      <c r="M15" s="247">
        <f>+'[1]VALORACION CONTROLES'!L13</f>
        <v>85</v>
      </c>
      <c r="N15" s="327"/>
      <c r="O15" s="327"/>
      <c r="P15" s="327"/>
      <c r="Q15" s="327"/>
      <c r="R15" s="327"/>
      <c r="S15" s="327"/>
      <c r="T15" s="327"/>
      <c r="U15" s="354"/>
      <c r="V15" s="357"/>
      <c r="W15" s="341"/>
      <c r="X15" s="341"/>
      <c r="Y15" s="344"/>
      <c r="Z15" s="360"/>
      <c r="AA15" s="332"/>
      <c r="AB15" s="248"/>
      <c r="AC15" s="248"/>
      <c r="AD15" s="248"/>
      <c r="AE15" s="248"/>
      <c r="AF15" s="248"/>
      <c r="AG15" s="335"/>
      <c r="AH15" s="338"/>
      <c r="AI15" s="249"/>
    </row>
    <row r="16" spans="1:35" s="238" customFormat="1" ht="107.25" customHeight="1" x14ac:dyDescent="0.2">
      <c r="A16" s="232">
        <v>1</v>
      </c>
      <c r="B16" s="345" t="s">
        <v>258</v>
      </c>
      <c r="C16" s="250" t="s">
        <v>259</v>
      </c>
      <c r="D16" s="321" t="s">
        <v>260</v>
      </c>
      <c r="E16" s="349" t="s">
        <v>261</v>
      </c>
      <c r="F16" s="316">
        <v>3</v>
      </c>
      <c r="G16" s="316" t="s">
        <v>244</v>
      </c>
      <c r="H16" s="316">
        <v>10</v>
      </c>
      <c r="I16" s="316" t="s">
        <v>245</v>
      </c>
      <c r="J16" s="316">
        <f>+$F16*$H16</f>
        <v>30</v>
      </c>
      <c r="K16" s="316" t="s">
        <v>246</v>
      </c>
      <c r="L16" s="234" t="s">
        <v>262</v>
      </c>
      <c r="M16" s="235">
        <f>+'[1]VALORACION CONTROLES'!L298</f>
        <v>95</v>
      </c>
      <c r="N16" s="316">
        <f>+'[1]VALORACION CONTROLES'!O298</f>
        <v>1</v>
      </c>
      <c r="O16" s="316">
        <f>IF($P16="Rara vez",1,IF($P16="Improbable",2,IF($P16="Posible",3,IF($P16="Probable",4, IF($P16="Casi seguro",5,)))))</f>
        <v>2</v>
      </c>
      <c r="P16" s="316" t="s">
        <v>248</v>
      </c>
      <c r="Q16" s="316">
        <f>IF($I16="Moderado",5,IF($I16="Mayor",10,IF($I16="Catastrófico",20,)))</f>
        <v>10</v>
      </c>
      <c r="R16" s="316" t="s">
        <v>245</v>
      </c>
      <c r="S16" s="316">
        <f>+O16*Q16</f>
        <v>20</v>
      </c>
      <c r="T16" s="316" t="s">
        <v>249</v>
      </c>
      <c r="U16" s="352" t="s">
        <v>263</v>
      </c>
      <c r="V16" s="367" t="s">
        <v>264</v>
      </c>
      <c r="W16" s="369" t="s">
        <v>265</v>
      </c>
      <c r="X16" s="369" t="s">
        <v>252</v>
      </c>
      <c r="Y16" s="371"/>
      <c r="Z16" s="373"/>
      <c r="AA16" s="330"/>
      <c r="AB16" s="236"/>
      <c r="AC16" s="236"/>
      <c r="AD16" s="236"/>
      <c r="AE16" s="236"/>
      <c r="AF16" s="236"/>
      <c r="AG16" s="333" t="s">
        <v>266</v>
      </c>
      <c r="AH16" s="336">
        <v>0.5</v>
      </c>
      <c r="AI16" s="237"/>
    </row>
    <row r="17" spans="1:35" s="238" customFormat="1" ht="69.75" customHeight="1" x14ac:dyDescent="0.2">
      <c r="A17" s="239"/>
      <c r="B17" s="346"/>
      <c r="C17" s="251" t="s">
        <v>267</v>
      </c>
      <c r="D17" s="322"/>
      <c r="E17" s="350"/>
      <c r="F17" s="317"/>
      <c r="G17" s="317"/>
      <c r="H17" s="317"/>
      <c r="I17" s="317"/>
      <c r="J17" s="317"/>
      <c r="K17" s="317"/>
      <c r="L17" s="241" t="s">
        <v>268</v>
      </c>
      <c r="M17" s="242">
        <f>+'[1]VALORACION CONTROLES'!L300</f>
        <v>100</v>
      </c>
      <c r="N17" s="317"/>
      <c r="O17" s="317"/>
      <c r="P17" s="317"/>
      <c r="Q17" s="317"/>
      <c r="R17" s="317"/>
      <c r="S17" s="317"/>
      <c r="T17" s="317"/>
      <c r="U17" s="353"/>
      <c r="V17" s="368"/>
      <c r="W17" s="370"/>
      <c r="X17" s="370"/>
      <c r="Y17" s="372"/>
      <c r="Z17" s="374"/>
      <c r="AA17" s="331"/>
      <c r="AB17" s="243"/>
      <c r="AC17" s="243"/>
      <c r="AD17" s="243"/>
      <c r="AE17" s="243"/>
      <c r="AF17" s="243"/>
      <c r="AG17" s="334"/>
      <c r="AH17" s="337"/>
    </row>
    <row r="18" spans="1:35" s="238" customFormat="1" ht="104.25" customHeight="1" x14ac:dyDescent="0.2">
      <c r="A18" s="239"/>
      <c r="B18" s="346"/>
      <c r="C18" s="251" t="s">
        <v>269</v>
      </c>
      <c r="D18" s="348"/>
      <c r="E18" s="351"/>
      <c r="F18" s="317"/>
      <c r="G18" s="317"/>
      <c r="H18" s="317"/>
      <c r="I18" s="317"/>
      <c r="J18" s="317"/>
      <c r="K18" s="358"/>
      <c r="L18" s="241" t="s">
        <v>270</v>
      </c>
      <c r="M18" s="242">
        <f>+'[1]VALORACION CONTROLES'!L302</f>
        <v>100</v>
      </c>
      <c r="N18" s="358"/>
      <c r="O18" s="317"/>
      <c r="P18" s="317"/>
      <c r="Q18" s="317"/>
      <c r="R18" s="317"/>
      <c r="S18" s="317"/>
      <c r="T18" s="358"/>
      <c r="U18" s="353"/>
      <c r="V18" s="368"/>
      <c r="W18" s="370"/>
      <c r="X18" s="370"/>
      <c r="Y18" s="372"/>
      <c r="Z18" s="374"/>
      <c r="AA18" s="331"/>
      <c r="AB18" s="243"/>
      <c r="AC18" s="243"/>
      <c r="AD18" s="243"/>
      <c r="AE18" s="243"/>
      <c r="AF18" s="243"/>
      <c r="AG18" s="364"/>
      <c r="AH18" s="337"/>
    </row>
    <row r="19" spans="1:35" s="238" customFormat="1" ht="34.5" customHeight="1" x14ac:dyDescent="0.2">
      <c r="A19" s="239">
        <v>1</v>
      </c>
      <c r="B19" s="346"/>
      <c r="C19" s="251" t="s">
        <v>271</v>
      </c>
      <c r="D19" s="365" t="s">
        <v>272</v>
      </c>
      <c r="E19" s="366" t="s">
        <v>273</v>
      </c>
      <c r="F19" s="361">
        <f>IF($G19="Rara vez",1,IF($G19="Improbable",2,IF($G19="Posible",3,IF($G19="Probable",4, IF($G19="Casi seguro",5,)))))</f>
        <v>3</v>
      </c>
      <c r="G19" s="361" t="s">
        <v>244</v>
      </c>
      <c r="H19" s="361">
        <f>IF($I19="Moderado",5,IF($I19="Mayor",10,IF($I19="Catastrófico",20,)))</f>
        <v>10</v>
      </c>
      <c r="I19" s="361" t="s">
        <v>245</v>
      </c>
      <c r="J19" s="361">
        <f>+$F19*$H19</f>
        <v>30</v>
      </c>
      <c r="K19" s="361" t="s">
        <v>246</v>
      </c>
      <c r="L19" s="377" t="s">
        <v>274</v>
      </c>
      <c r="M19" s="361">
        <f>+'[1]VALORACION CONTROLES'!L313</f>
        <v>95</v>
      </c>
      <c r="N19" s="361">
        <f>+'[1]VALORACION CONTROLES'!O313</f>
        <v>1</v>
      </c>
      <c r="O19" s="361">
        <f>IF($P19="Rara vez",1,IF($P19="Improbable",2,IF($P19="Posible",3,IF($P19="Probable",4, IF($P19="Casi seguro",5,)))))</f>
        <v>2</v>
      </c>
      <c r="P19" s="361" t="s">
        <v>248</v>
      </c>
      <c r="Q19" s="361">
        <f>IF($I19="Moderado",5,IF($I19="Mayor",10,IF($I19="Catastrófico",20,)))</f>
        <v>10</v>
      </c>
      <c r="R19" s="361" t="s">
        <v>245</v>
      </c>
      <c r="S19" s="361">
        <f>+O19*Q19</f>
        <v>20</v>
      </c>
      <c r="T19" s="361" t="s">
        <v>249</v>
      </c>
      <c r="U19" s="377" t="s">
        <v>275</v>
      </c>
      <c r="V19" s="378" t="s">
        <v>276</v>
      </c>
      <c r="W19" s="375" t="s">
        <v>265</v>
      </c>
      <c r="X19" s="375" t="s">
        <v>252</v>
      </c>
      <c r="Y19" s="362"/>
      <c r="Z19" s="362"/>
      <c r="AA19" s="381"/>
      <c r="AB19" s="243"/>
      <c r="AC19" s="243"/>
      <c r="AD19" s="243"/>
      <c r="AE19" s="243"/>
      <c r="AF19" s="243"/>
      <c r="AG19" s="376" t="s">
        <v>277</v>
      </c>
      <c r="AH19" s="337" t="s">
        <v>278</v>
      </c>
    </row>
    <row r="20" spans="1:35" s="238" customFormat="1" ht="75" customHeight="1" x14ac:dyDescent="0.2">
      <c r="A20" s="239"/>
      <c r="B20" s="346"/>
      <c r="C20" s="251" t="s">
        <v>259</v>
      </c>
      <c r="D20" s="322"/>
      <c r="E20" s="350"/>
      <c r="F20" s="317"/>
      <c r="G20" s="317"/>
      <c r="H20" s="317"/>
      <c r="I20" s="317"/>
      <c r="J20" s="317"/>
      <c r="K20" s="317"/>
      <c r="L20" s="380"/>
      <c r="M20" s="358"/>
      <c r="N20" s="317"/>
      <c r="O20" s="317"/>
      <c r="P20" s="317"/>
      <c r="Q20" s="317"/>
      <c r="R20" s="317"/>
      <c r="S20" s="317"/>
      <c r="T20" s="317"/>
      <c r="U20" s="353"/>
      <c r="V20" s="379"/>
      <c r="W20" s="340"/>
      <c r="X20" s="340"/>
      <c r="Y20" s="363"/>
      <c r="Z20" s="363"/>
      <c r="AA20" s="331"/>
      <c r="AB20" s="243"/>
      <c r="AC20" s="243"/>
      <c r="AD20" s="243"/>
      <c r="AE20" s="243"/>
      <c r="AF20" s="243"/>
      <c r="AG20" s="334"/>
      <c r="AH20" s="337"/>
    </row>
    <row r="21" spans="1:35" s="238" customFormat="1" ht="93.75" customHeight="1" x14ac:dyDescent="0.2">
      <c r="A21" s="239"/>
      <c r="B21" s="346"/>
      <c r="C21" s="251" t="s">
        <v>269</v>
      </c>
      <c r="D21" s="322"/>
      <c r="E21" s="350"/>
      <c r="F21" s="317"/>
      <c r="G21" s="317"/>
      <c r="H21" s="317"/>
      <c r="I21" s="317"/>
      <c r="J21" s="317"/>
      <c r="K21" s="317"/>
      <c r="L21" s="241" t="s">
        <v>279</v>
      </c>
      <c r="M21" s="242">
        <f>+'[1]VALORACION CONTROLES'!L315</f>
        <v>85</v>
      </c>
      <c r="N21" s="358"/>
      <c r="O21" s="317"/>
      <c r="P21" s="317"/>
      <c r="Q21" s="317"/>
      <c r="R21" s="317"/>
      <c r="S21" s="317"/>
      <c r="T21" s="317"/>
      <c r="U21" s="353"/>
      <c r="V21" s="379"/>
      <c r="W21" s="340"/>
      <c r="X21" s="340"/>
      <c r="Y21" s="363"/>
      <c r="Z21" s="363"/>
      <c r="AA21" s="331"/>
      <c r="AB21" s="243"/>
      <c r="AC21" s="243"/>
      <c r="AD21" s="243"/>
      <c r="AE21" s="243"/>
      <c r="AF21" s="243"/>
      <c r="AG21" s="364"/>
      <c r="AH21" s="337"/>
    </row>
    <row r="22" spans="1:35" s="238" customFormat="1" ht="122.25" customHeight="1" x14ac:dyDescent="0.2">
      <c r="A22" s="239">
        <v>1</v>
      </c>
      <c r="B22" s="346"/>
      <c r="C22" s="251" t="s">
        <v>280</v>
      </c>
      <c r="D22" s="365" t="s">
        <v>281</v>
      </c>
      <c r="E22" s="366" t="s">
        <v>273</v>
      </c>
      <c r="F22" s="361">
        <f>IF($G22="Rara vez",1,IF($G22="Improbable",2,IF($G22="Posible",3,IF($G22="Probable",4, IF($G22="Casi seguro",5,)))))</f>
        <v>2</v>
      </c>
      <c r="G22" s="361" t="s">
        <v>248</v>
      </c>
      <c r="H22" s="361">
        <f>IF($I22="Moderado",5,IF($I22="Mayor",10,IF($I22="Catastrófico",20,)))</f>
        <v>10</v>
      </c>
      <c r="I22" s="361" t="s">
        <v>245</v>
      </c>
      <c r="J22" s="361">
        <f>+$F22*$H22</f>
        <v>20</v>
      </c>
      <c r="K22" s="361" t="s">
        <v>249</v>
      </c>
      <c r="L22" s="241" t="s">
        <v>282</v>
      </c>
      <c r="M22" s="242">
        <f>+'[1]VALORACION CONTROLES'!L268</f>
        <v>100</v>
      </c>
      <c r="N22" s="242">
        <f>+'[1]VALORACION CONTROLES'!O268</f>
        <v>2</v>
      </c>
      <c r="O22" s="361">
        <f>IF($P22="Rara vez",1,IF($P22="Improbable",2,IF($P22="Posible",3,IF($P22="Probable",4, IF($P22="Casi seguro",5,)))))</f>
        <v>1</v>
      </c>
      <c r="P22" s="361" t="s">
        <v>283</v>
      </c>
      <c r="Q22" s="361">
        <f>IF($I22="Moderado",5,IF($I22="Mayor",10,IF($I22="Catastrófico",20,)))</f>
        <v>10</v>
      </c>
      <c r="R22" s="361" t="s">
        <v>245</v>
      </c>
      <c r="S22" s="361">
        <f>+O22*Q22</f>
        <v>10</v>
      </c>
      <c r="T22" s="361" t="s">
        <v>284</v>
      </c>
      <c r="U22" s="377" t="s">
        <v>285</v>
      </c>
      <c r="V22" s="378" t="s">
        <v>286</v>
      </c>
      <c r="W22" s="378" t="s">
        <v>287</v>
      </c>
      <c r="X22" s="375" t="s">
        <v>252</v>
      </c>
      <c r="Y22" s="362"/>
      <c r="Z22" s="362"/>
      <c r="AA22" s="381"/>
      <c r="AB22" s="243"/>
      <c r="AC22" s="243"/>
      <c r="AD22" s="243"/>
      <c r="AE22" s="243"/>
      <c r="AF22" s="243"/>
      <c r="AG22" s="376" t="s">
        <v>288</v>
      </c>
      <c r="AH22" s="382">
        <v>1</v>
      </c>
    </row>
    <row r="23" spans="1:35" s="238" customFormat="1" ht="99" customHeight="1" x14ac:dyDescent="0.2">
      <c r="A23" s="239"/>
      <c r="B23" s="346"/>
      <c r="C23" s="251" t="s">
        <v>289</v>
      </c>
      <c r="D23" s="322"/>
      <c r="E23" s="350"/>
      <c r="F23" s="317"/>
      <c r="G23" s="317"/>
      <c r="H23" s="317"/>
      <c r="I23" s="317"/>
      <c r="J23" s="317"/>
      <c r="K23" s="317"/>
      <c r="L23" s="241" t="s">
        <v>290</v>
      </c>
      <c r="M23" s="242">
        <f>+'[1]VALORACION CONTROLES'!L270</f>
        <v>100</v>
      </c>
      <c r="N23" s="242">
        <f>+'[1]VALORACION CONTROLES'!O270</f>
        <v>0</v>
      </c>
      <c r="O23" s="317"/>
      <c r="P23" s="317"/>
      <c r="Q23" s="317"/>
      <c r="R23" s="317"/>
      <c r="S23" s="317"/>
      <c r="T23" s="317"/>
      <c r="U23" s="353"/>
      <c r="V23" s="379"/>
      <c r="W23" s="379"/>
      <c r="X23" s="340"/>
      <c r="Y23" s="363"/>
      <c r="Z23" s="363"/>
      <c r="AA23" s="331"/>
      <c r="AB23" s="243"/>
      <c r="AC23" s="243"/>
      <c r="AD23" s="243"/>
      <c r="AE23" s="243"/>
      <c r="AF23" s="243"/>
      <c r="AG23" s="334"/>
      <c r="AH23" s="382"/>
    </row>
    <row r="24" spans="1:35" s="238" customFormat="1" ht="166.5" customHeight="1" x14ac:dyDescent="0.2">
      <c r="A24" s="239"/>
      <c r="B24" s="346"/>
      <c r="C24" s="251" t="s">
        <v>291</v>
      </c>
      <c r="D24" s="348"/>
      <c r="E24" s="351"/>
      <c r="F24" s="317"/>
      <c r="G24" s="317"/>
      <c r="H24" s="317"/>
      <c r="I24" s="317"/>
      <c r="J24" s="317"/>
      <c r="K24" s="358"/>
      <c r="L24" s="241" t="s">
        <v>292</v>
      </c>
      <c r="M24" s="242">
        <f>+'[1]VALORACION CONTROLES'!L272</f>
        <v>100</v>
      </c>
      <c r="N24" s="242">
        <f>+'[1]VALORACION CONTROLES'!O272</f>
        <v>0</v>
      </c>
      <c r="O24" s="317"/>
      <c r="P24" s="317"/>
      <c r="Q24" s="317"/>
      <c r="R24" s="317"/>
      <c r="S24" s="317"/>
      <c r="T24" s="317"/>
      <c r="U24" s="353"/>
      <c r="V24" s="379"/>
      <c r="W24" s="379"/>
      <c r="X24" s="340"/>
      <c r="Y24" s="363"/>
      <c r="Z24" s="363"/>
      <c r="AA24" s="331"/>
      <c r="AB24" s="243"/>
      <c r="AC24" s="243"/>
      <c r="AD24" s="243"/>
      <c r="AE24" s="243"/>
      <c r="AF24" s="243"/>
      <c r="AG24" s="364"/>
      <c r="AH24" s="382"/>
    </row>
    <row r="25" spans="1:35" s="238" customFormat="1" ht="109.5" customHeight="1" x14ac:dyDescent="0.2">
      <c r="A25" s="239">
        <v>1</v>
      </c>
      <c r="B25" s="346"/>
      <c r="C25" s="251" t="s">
        <v>293</v>
      </c>
      <c r="D25" s="365" t="s">
        <v>294</v>
      </c>
      <c r="E25" s="366" t="s">
        <v>295</v>
      </c>
      <c r="F25" s="361">
        <f>IF($G25="Rara vez",1,IF($G25="Improbable",2,IF($G25="Posible",3,IF($G25="Probable",4, IF($G25="Casi seguro",5,)))))</f>
        <v>3</v>
      </c>
      <c r="G25" s="361" t="s">
        <v>244</v>
      </c>
      <c r="H25" s="361">
        <f>IF($I25="Moderado",5,IF($I25="Mayor",10,IF($I25="Catastrófico",20,)))</f>
        <v>10</v>
      </c>
      <c r="I25" s="361" t="s">
        <v>245</v>
      </c>
      <c r="J25" s="361">
        <f>+$F25*$H25</f>
        <v>30</v>
      </c>
      <c r="K25" s="361" t="s">
        <v>246</v>
      </c>
      <c r="L25" s="377" t="s">
        <v>296</v>
      </c>
      <c r="M25" s="361">
        <f>+'[1]VALORACION CONTROLES'!L283</f>
        <v>100</v>
      </c>
      <c r="N25" s="361">
        <f>+'[1]VALORACION CONTROLES'!O283</f>
        <v>2</v>
      </c>
      <c r="O25" s="361">
        <f>IF($P25="Rara vez",1,IF($P25="Improbable",2,IF($P25="Posible",3,IF($P25="Probable",4, IF($P25="Casi seguro",5,)))))</f>
        <v>1</v>
      </c>
      <c r="P25" s="361" t="s">
        <v>283</v>
      </c>
      <c r="Q25" s="361">
        <f>IF($I25="Moderado",5,IF($I25="Mayor",10,IF($I25="Catastrófico",20,)))</f>
        <v>10</v>
      </c>
      <c r="R25" s="361" t="s">
        <v>245</v>
      </c>
      <c r="S25" s="361">
        <f>+O25*Q25</f>
        <v>10</v>
      </c>
      <c r="T25" s="361" t="s">
        <v>284</v>
      </c>
      <c r="U25" s="377" t="s">
        <v>297</v>
      </c>
      <c r="V25" s="378" t="s">
        <v>298</v>
      </c>
      <c r="W25" s="375" t="s">
        <v>298</v>
      </c>
      <c r="X25" s="375" t="s">
        <v>298</v>
      </c>
      <c r="Y25" s="361"/>
      <c r="Z25" s="385"/>
      <c r="AA25" s="387"/>
      <c r="AB25" s="243"/>
      <c r="AC25" s="243"/>
      <c r="AD25" s="243"/>
      <c r="AE25" s="243"/>
      <c r="AF25" s="243"/>
      <c r="AG25" s="376" t="s">
        <v>299</v>
      </c>
      <c r="AH25" s="383" t="s">
        <v>278</v>
      </c>
    </row>
    <row r="26" spans="1:35" s="238" customFormat="1" ht="100.5" customHeight="1" thickBot="1" x14ac:dyDescent="0.25">
      <c r="A26" s="244"/>
      <c r="B26" s="347"/>
      <c r="C26" s="252" t="s">
        <v>300</v>
      </c>
      <c r="D26" s="323"/>
      <c r="E26" s="392"/>
      <c r="F26" s="327"/>
      <c r="G26" s="327"/>
      <c r="H26" s="327"/>
      <c r="I26" s="327"/>
      <c r="J26" s="327"/>
      <c r="K26" s="327"/>
      <c r="L26" s="354"/>
      <c r="M26" s="327"/>
      <c r="N26" s="327"/>
      <c r="O26" s="327"/>
      <c r="P26" s="327"/>
      <c r="Q26" s="327"/>
      <c r="R26" s="327"/>
      <c r="S26" s="327"/>
      <c r="T26" s="327"/>
      <c r="U26" s="354"/>
      <c r="V26" s="391"/>
      <c r="W26" s="341"/>
      <c r="X26" s="341"/>
      <c r="Y26" s="327"/>
      <c r="Z26" s="386"/>
      <c r="AA26" s="388"/>
      <c r="AB26" s="248"/>
      <c r="AC26" s="248"/>
      <c r="AD26" s="248"/>
      <c r="AE26" s="248"/>
      <c r="AF26" s="248"/>
      <c r="AG26" s="335"/>
      <c r="AH26" s="384"/>
      <c r="AI26" s="249"/>
    </row>
    <row r="27" spans="1:35" s="238" customFormat="1" ht="136.5" customHeight="1" thickBot="1" x14ac:dyDescent="0.25">
      <c r="A27" s="253">
        <v>1</v>
      </c>
      <c r="B27" s="404" t="s">
        <v>301</v>
      </c>
      <c r="C27" s="254" t="s">
        <v>302</v>
      </c>
      <c r="D27" s="321" t="s">
        <v>303</v>
      </c>
      <c r="E27" s="324" t="s">
        <v>304</v>
      </c>
      <c r="F27" s="389">
        <f>IF($G27="Rara vez",1,IF($G27="Improbable",2,IF($G27="Posible",3,IF($G27="Probable",4, IF($G27="Casi seguro",5,)))))</f>
        <v>3</v>
      </c>
      <c r="G27" s="389" t="s">
        <v>244</v>
      </c>
      <c r="H27" s="389">
        <f>IF($I27="Moderado",5,IF($I27="Mayor",10,IF($I27="Catastrófico",20,)))</f>
        <v>10</v>
      </c>
      <c r="I27" s="389" t="s">
        <v>245</v>
      </c>
      <c r="J27" s="389">
        <f>+$F27*$H27</f>
        <v>30</v>
      </c>
      <c r="K27" s="316" t="s">
        <v>246</v>
      </c>
      <c r="L27" s="255" t="s">
        <v>305</v>
      </c>
      <c r="M27" s="256">
        <f>+'[1]VALORACION CONTROLES'!L22</f>
        <v>80</v>
      </c>
      <c r="N27" s="256">
        <f>+'[1]VALORACION CONTROLES'!O22</f>
        <v>0</v>
      </c>
      <c r="O27" s="316">
        <f>IF($P27="Rara vez",1,IF($P27="Improbable",2,IF($P27="Posible",3,IF($P27="Probable",4, IF($P27="Casi seguro",5,)))))</f>
        <v>3</v>
      </c>
      <c r="P27" s="316" t="s">
        <v>244</v>
      </c>
      <c r="Q27" s="316">
        <f>IF($I27="Moderado",5,IF($I27="Mayor",10,IF($I27="Catastrófico",20,)))</f>
        <v>10</v>
      </c>
      <c r="R27" s="316" t="s">
        <v>245</v>
      </c>
      <c r="S27" s="316">
        <f>+O27*Q27</f>
        <v>30</v>
      </c>
      <c r="T27" s="316" t="s">
        <v>246</v>
      </c>
      <c r="U27" s="401" t="s">
        <v>306</v>
      </c>
      <c r="V27" s="403">
        <v>44196</v>
      </c>
      <c r="W27" s="339" t="s">
        <v>138</v>
      </c>
      <c r="X27" s="339" t="s">
        <v>252</v>
      </c>
      <c r="Y27" s="342"/>
      <c r="Z27" s="342"/>
      <c r="AA27" s="330"/>
      <c r="AB27" s="257"/>
      <c r="AC27" s="257"/>
      <c r="AD27" s="257"/>
      <c r="AE27" s="257"/>
      <c r="AF27" s="257"/>
      <c r="AG27" s="398" t="s">
        <v>307</v>
      </c>
      <c r="AH27" s="400">
        <v>1</v>
      </c>
      <c r="AI27" s="393"/>
    </row>
    <row r="28" spans="1:35" s="238" customFormat="1" ht="115.5" customHeight="1" thickBot="1" x14ac:dyDescent="0.25">
      <c r="A28" s="244"/>
      <c r="B28" s="405"/>
      <c r="C28" s="258" t="s">
        <v>308</v>
      </c>
      <c r="D28" s="323"/>
      <c r="E28" s="326" t="s">
        <v>304</v>
      </c>
      <c r="F28" s="390"/>
      <c r="G28" s="390"/>
      <c r="H28" s="390"/>
      <c r="I28" s="390"/>
      <c r="J28" s="390"/>
      <c r="K28" s="327"/>
      <c r="L28" s="259" t="s">
        <v>309</v>
      </c>
      <c r="M28" s="260">
        <f>+'[1]VALORACION CONTROLES'!L24</f>
        <v>80</v>
      </c>
      <c r="N28" s="260">
        <f>+'[1]VALORACION CONTROLES'!O24</f>
        <v>0</v>
      </c>
      <c r="O28" s="327"/>
      <c r="P28" s="327"/>
      <c r="Q28" s="327"/>
      <c r="R28" s="327"/>
      <c r="S28" s="327"/>
      <c r="T28" s="327"/>
      <c r="U28" s="402"/>
      <c r="V28" s="391"/>
      <c r="W28" s="341"/>
      <c r="X28" s="341"/>
      <c r="Y28" s="360"/>
      <c r="Z28" s="344"/>
      <c r="AA28" s="332"/>
      <c r="AB28" s="261"/>
      <c r="AC28" s="261"/>
      <c r="AD28" s="261"/>
      <c r="AE28" s="261"/>
      <c r="AF28" s="261"/>
      <c r="AG28" s="399"/>
      <c r="AH28" s="384"/>
      <c r="AI28" s="394"/>
    </row>
    <row r="29" spans="1:35" s="238" customFormat="1" ht="111.6" customHeight="1" x14ac:dyDescent="0.2">
      <c r="A29" s="232">
        <v>1</v>
      </c>
      <c r="B29" s="395" t="s">
        <v>310</v>
      </c>
      <c r="C29" s="233" t="s">
        <v>259</v>
      </c>
      <c r="D29" s="321" t="s">
        <v>311</v>
      </c>
      <c r="E29" s="324" t="s">
        <v>312</v>
      </c>
      <c r="F29" s="316">
        <f>IF($G29="Rara vez",1,IF($G29="Improbable",2,IF($G29="Posible",3,IF($G29="Probable",4, IF($G29="Casi seguro",5,)))))</f>
        <v>2</v>
      </c>
      <c r="G29" s="316" t="s">
        <v>248</v>
      </c>
      <c r="H29" s="316">
        <f>IF($I29="Moderado",5,IF($I29="Mayor",10,IF($I29="Catastrófico",20,)))</f>
        <v>10</v>
      </c>
      <c r="I29" s="316" t="s">
        <v>245</v>
      </c>
      <c r="J29" s="316">
        <f>+$F29*$H29</f>
        <v>20</v>
      </c>
      <c r="K29" s="316" t="s">
        <v>249</v>
      </c>
      <c r="L29" s="262" t="s">
        <v>313</v>
      </c>
      <c r="M29" s="235">
        <f>+'[1]VALORACION CONTROLES'!L122</f>
        <v>100</v>
      </c>
      <c r="N29" s="316">
        <f>+'[1]VALORACION CONTROLES'!O122</f>
        <v>2</v>
      </c>
      <c r="O29" s="316">
        <f>IF($P29="Rara vez",1,IF($P29="Improbable",2,IF($P29="Posible",3,IF($P29="Probable",4, IF($P29="Casi seguro",5,)))))</f>
        <v>1</v>
      </c>
      <c r="P29" s="316" t="s">
        <v>283</v>
      </c>
      <c r="Q29" s="316">
        <f>IF($I29="Moderado",5,IF($I29="Mayor",10,IF($I29="Catastrófico",20,)))</f>
        <v>10</v>
      </c>
      <c r="R29" s="316" t="s">
        <v>245</v>
      </c>
      <c r="S29" s="316">
        <f>+O29*Q29</f>
        <v>10</v>
      </c>
      <c r="T29" s="316" t="s">
        <v>284</v>
      </c>
      <c r="U29" s="352" t="s">
        <v>314</v>
      </c>
      <c r="V29" s="403" t="s">
        <v>298</v>
      </c>
      <c r="W29" s="339" t="s">
        <v>298</v>
      </c>
      <c r="X29" s="339" t="s">
        <v>298</v>
      </c>
      <c r="Y29" s="324"/>
      <c r="Z29" s="324"/>
      <c r="AA29" s="412"/>
      <c r="AB29" s="236"/>
      <c r="AC29" s="236"/>
      <c r="AD29" s="236"/>
      <c r="AE29" s="236"/>
      <c r="AF29" s="236"/>
      <c r="AG29" s="415" t="s">
        <v>315</v>
      </c>
      <c r="AH29" s="406" t="s">
        <v>278</v>
      </c>
      <c r="AI29" s="237"/>
    </row>
    <row r="30" spans="1:35" s="238" customFormat="1" ht="28.15" customHeight="1" x14ac:dyDescent="0.2">
      <c r="A30" s="239"/>
      <c r="B30" s="396"/>
      <c r="C30" s="240" t="s">
        <v>316</v>
      </c>
      <c r="D30" s="322"/>
      <c r="E30" s="325" t="s">
        <v>312</v>
      </c>
      <c r="F30" s="317"/>
      <c r="G30" s="317"/>
      <c r="H30" s="317"/>
      <c r="I30" s="317"/>
      <c r="J30" s="317"/>
      <c r="K30" s="317"/>
      <c r="L30" s="377" t="s">
        <v>317</v>
      </c>
      <c r="M30" s="361">
        <f>+'[1]VALORACION CONTROLES'!L124</f>
        <v>100</v>
      </c>
      <c r="N30" s="317"/>
      <c r="O30" s="317"/>
      <c r="P30" s="317"/>
      <c r="Q30" s="317"/>
      <c r="R30" s="317"/>
      <c r="S30" s="317"/>
      <c r="T30" s="317"/>
      <c r="U30" s="353"/>
      <c r="V30" s="379"/>
      <c r="W30" s="340"/>
      <c r="X30" s="340"/>
      <c r="Y30" s="325"/>
      <c r="Z30" s="325"/>
      <c r="AA30" s="413"/>
      <c r="AB30" s="243"/>
      <c r="AC30" s="243"/>
      <c r="AD30" s="243"/>
      <c r="AE30" s="243"/>
      <c r="AF30" s="243"/>
      <c r="AG30" s="416"/>
      <c r="AH30" s="407"/>
    </row>
    <row r="31" spans="1:35" s="238" customFormat="1" ht="24" customHeight="1" thickBot="1" x14ac:dyDescent="0.25">
      <c r="A31" s="244"/>
      <c r="B31" s="397"/>
      <c r="C31" s="245" t="s">
        <v>318</v>
      </c>
      <c r="D31" s="323"/>
      <c r="E31" s="326" t="s">
        <v>312</v>
      </c>
      <c r="F31" s="327"/>
      <c r="G31" s="327"/>
      <c r="H31" s="327"/>
      <c r="I31" s="327"/>
      <c r="J31" s="327"/>
      <c r="K31" s="327"/>
      <c r="L31" s="354"/>
      <c r="M31" s="327"/>
      <c r="N31" s="327"/>
      <c r="O31" s="327"/>
      <c r="P31" s="327"/>
      <c r="Q31" s="327"/>
      <c r="R31" s="327"/>
      <c r="S31" s="327"/>
      <c r="T31" s="327"/>
      <c r="U31" s="354"/>
      <c r="V31" s="391"/>
      <c r="W31" s="341"/>
      <c r="X31" s="341"/>
      <c r="Y31" s="326"/>
      <c r="Z31" s="326"/>
      <c r="AA31" s="414"/>
      <c r="AB31" s="248"/>
      <c r="AC31" s="248"/>
      <c r="AD31" s="248"/>
      <c r="AE31" s="248"/>
      <c r="AF31" s="248"/>
      <c r="AG31" s="417"/>
      <c r="AH31" s="408"/>
      <c r="AI31" s="249"/>
    </row>
    <row r="32" spans="1:35" s="238" customFormat="1" ht="71.25" customHeight="1" x14ac:dyDescent="0.2">
      <c r="A32" s="232">
        <v>1</v>
      </c>
      <c r="B32" s="409" t="s">
        <v>319</v>
      </c>
      <c r="C32" s="250" t="s">
        <v>320</v>
      </c>
      <c r="D32" s="321" t="s">
        <v>321</v>
      </c>
      <c r="E32" s="352" t="s">
        <v>322</v>
      </c>
      <c r="F32" s="316">
        <f>IF($G32="Rara vez",1,IF($G32="Improbable",2,IF($G32="Posible",3,IF($G32="Probable",4, IF($G32="Casi seguro",5,)))))</f>
        <v>2</v>
      </c>
      <c r="G32" s="316" t="s">
        <v>248</v>
      </c>
      <c r="H32" s="316">
        <f>IF($I32="Moderado",5,IF($I32="Mayor",10,IF($I32="Catastrófico",20,)))</f>
        <v>10</v>
      </c>
      <c r="I32" s="316" t="s">
        <v>245</v>
      </c>
      <c r="J32" s="316">
        <f>+$F32*$H32</f>
        <v>20</v>
      </c>
      <c r="K32" s="316" t="s">
        <v>249</v>
      </c>
      <c r="L32" s="234" t="s">
        <v>323</v>
      </c>
      <c r="M32" s="235">
        <f>+'[1]VALORACION CONTROLES'!L65</f>
        <v>85</v>
      </c>
      <c r="N32" s="316">
        <f>+'[1]VALORACION CONTROLES'!O65</f>
        <v>1</v>
      </c>
      <c r="O32" s="316">
        <f>IF($P32="Rara vez",1,IF($P32="Improbable",2,IF($P32="Posible",3,IF($P32="Probable",4, IF($P32="Casi seguro",5,)))))</f>
        <v>1</v>
      </c>
      <c r="P32" s="316" t="s">
        <v>283</v>
      </c>
      <c r="Q32" s="316">
        <f>IF($I32="Moderado",5,IF($I32="Mayor",10,IF($I32="Catastrófico",20,)))</f>
        <v>10</v>
      </c>
      <c r="R32" s="316" t="s">
        <v>245</v>
      </c>
      <c r="S32" s="316">
        <f>+O32*Q32</f>
        <v>10</v>
      </c>
      <c r="T32" s="316" t="s">
        <v>284</v>
      </c>
      <c r="U32" s="418" t="s">
        <v>324</v>
      </c>
      <c r="V32" s="367" t="s">
        <v>325</v>
      </c>
      <c r="W32" s="369" t="s">
        <v>326</v>
      </c>
      <c r="X32" s="339" t="s">
        <v>252</v>
      </c>
      <c r="Y32" s="342"/>
      <c r="Z32" s="342"/>
      <c r="AA32" s="330"/>
      <c r="AB32" s="236"/>
      <c r="AC32" s="236"/>
      <c r="AD32" s="236"/>
      <c r="AE32" s="236"/>
      <c r="AF32" s="236"/>
      <c r="AG32" s="333" t="s">
        <v>327</v>
      </c>
      <c r="AH32" s="420">
        <v>1</v>
      </c>
      <c r="AI32" s="237"/>
    </row>
    <row r="33" spans="1:35" s="238" customFormat="1" ht="81" customHeight="1" x14ac:dyDescent="0.2">
      <c r="A33" s="239"/>
      <c r="B33" s="410"/>
      <c r="C33" s="251" t="s">
        <v>328</v>
      </c>
      <c r="D33" s="322"/>
      <c r="E33" s="353" t="s">
        <v>322</v>
      </c>
      <c r="F33" s="317"/>
      <c r="G33" s="317"/>
      <c r="H33" s="317"/>
      <c r="I33" s="317"/>
      <c r="J33" s="317"/>
      <c r="K33" s="317"/>
      <c r="L33" s="241" t="s">
        <v>329</v>
      </c>
      <c r="M33" s="242">
        <f>+'[1]VALORACION CONTROLES'!L67</f>
        <v>100</v>
      </c>
      <c r="N33" s="317"/>
      <c r="O33" s="317"/>
      <c r="P33" s="317"/>
      <c r="Q33" s="317"/>
      <c r="R33" s="317"/>
      <c r="S33" s="317"/>
      <c r="T33" s="317"/>
      <c r="U33" s="419"/>
      <c r="V33" s="368"/>
      <c r="W33" s="370"/>
      <c r="X33" s="340"/>
      <c r="Y33" s="343"/>
      <c r="Z33" s="343"/>
      <c r="AA33" s="331"/>
      <c r="AB33" s="243"/>
      <c r="AC33" s="243"/>
      <c r="AD33" s="243"/>
      <c r="AE33" s="243"/>
      <c r="AF33" s="243"/>
      <c r="AG33" s="334"/>
      <c r="AH33" s="421"/>
    </row>
    <row r="34" spans="1:35" s="238" customFormat="1" ht="126.75" customHeight="1" x14ac:dyDescent="0.2">
      <c r="A34" s="239"/>
      <c r="B34" s="410"/>
      <c r="C34" s="251" t="s">
        <v>330</v>
      </c>
      <c r="D34" s="348"/>
      <c r="E34" s="380" t="s">
        <v>322</v>
      </c>
      <c r="F34" s="317"/>
      <c r="G34" s="317"/>
      <c r="H34" s="317"/>
      <c r="I34" s="317"/>
      <c r="J34" s="317"/>
      <c r="K34" s="358"/>
      <c r="L34" s="241" t="s">
        <v>331</v>
      </c>
      <c r="M34" s="242">
        <f>+'[1]VALORACION CONTROLES'!L69</f>
        <v>85</v>
      </c>
      <c r="N34" s="358"/>
      <c r="O34" s="317"/>
      <c r="P34" s="317"/>
      <c r="Q34" s="317"/>
      <c r="R34" s="317"/>
      <c r="S34" s="317"/>
      <c r="T34" s="317"/>
      <c r="U34" s="419"/>
      <c r="V34" s="368"/>
      <c r="W34" s="370"/>
      <c r="X34" s="340"/>
      <c r="Y34" s="424"/>
      <c r="Z34" s="424"/>
      <c r="AA34" s="425"/>
      <c r="AB34" s="243"/>
      <c r="AC34" s="243"/>
      <c r="AD34" s="243"/>
      <c r="AE34" s="243"/>
      <c r="AF34" s="243"/>
      <c r="AG34" s="364"/>
      <c r="AH34" s="422"/>
    </row>
    <row r="35" spans="1:35" s="238" customFormat="1" ht="93.75" customHeight="1" x14ac:dyDescent="0.2">
      <c r="A35" s="239">
        <v>1</v>
      </c>
      <c r="B35" s="410"/>
      <c r="C35" s="251" t="s">
        <v>332</v>
      </c>
      <c r="D35" s="365" t="s">
        <v>333</v>
      </c>
      <c r="E35" s="423" t="s">
        <v>261</v>
      </c>
      <c r="F35" s="361">
        <f>IF($G35="Rara vez",1,IF($G35="Improbable",2,IF($G35="Posible",3,IF($G35="Probable",4, IF($G35="Casi seguro",5,)))))</f>
        <v>1</v>
      </c>
      <c r="G35" s="361" t="s">
        <v>283</v>
      </c>
      <c r="H35" s="361">
        <f>IF($I35="Moderado",5,IF($I35="Mayor",10,IF($I35="Catastrófico",20,)))</f>
        <v>10</v>
      </c>
      <c r="I35" s="361" t="s">
        <v>245</v>
      </c>
      <c r="J35" s="361">
        <f>+$F35*$H35</f>
        <v>10</v>
      </c>
      <c r="K35" s="361" t="s">
        <v>284</v>
      </c>
      <c r="L35" s="377" t="s">
        <v>334</v>
      </c>
      <c r="M35" s="361">
        <f>+'[1]VALORACION CONTROLES'!L77</f>
        <v>100</v>
      </c>
      <c r="N35" s="361">
        <f>+'[1]VALORACION CONTROLES'!O77</f>
        <v>1</v>
      </c>
      <c r="O35" s="361">
        <f>IF($P35="Rara vez",1,IF($P35="Improbable",2,IF($P35="Posible",3,IF($P35="Probable",4, IF($P35="Casi seguro",5,)))))</f>
        <v>1</v>
      </c>
      <c r="P35" s="361" t="s">
        <v>283</v>
      </c>
      <c r="Q35" s="361">
        <f>IF($I35="Moderado",5,IF($I35="Mayor",10,IF($I35="Catastrófico",20,)))</f>
        <v>10</v>
      </c>
      <c r="R35" s="361" t="s">
        <v>245</v>
      </c>
      <c r="S35" s="361">
        <f>+O35*Q35</f>
        <v>10</v>
      </c>
      <c r="T35" s="361" t="s">
        <v>284</v>
      </c>
      <c r="U35" s="419" t="s">
        <v>335</v>
      </c>
      <c r="V35" s="368">
        <v>44196</v>
      </c>
      <c r="W35" s="370" t="s">
        <v>326</v>
      </c>
      <c r="X35" s="370" t="s">
        <v>336</v>
      </c>
      <c r="Y35" s="429"/>
      <c r="Z35" s="429"/>
      <c r="AA35" s="381"/>
      <c r="AB35" s="243"/>
      <c r="AC35" s="243"/>
      <c r="AD35" s="243"/>
      <c r="AE35" s="243"/>
      <c r="AF35" s="243"/>
      <c r="AG35" s="430" t="s">
        <v>337</v>
      </c>
      <c r="AH35" s="383">
        <v>1</v>
      </c>
    </row>
    <row r="36" spans="1:35" s="238" customFormat="1" ht="78" customHeight="1" x14ac:dyDescent="0.2">
      <c r="A36" s="239"/>
      <c r="B36" s="410"/>
      <c r="C36" s="251" t="s">
        <v>338</v>
      </c>
      <c r="D36" s="322"/>
      <c r="E36" s="325"/>
      <c r="F36" s="317"/>
      <c r="G36" s="317"/>
      <c r="H36" s="317"/>
      <c r="I36" s="317"/>
      <c r="J36" s="317"/>
      <c r="K36" s="317"/>
      <c r="L36" s="380"/>
      <c r="M36" s="358"/>
      <c r="N36" s="358"/>
      <c r="O36" s="317"/>
      <c r="P36" s="317"/>
      <c r="Q36" s="317"/>
      <c r="R36" s="317"/>
      <c r="S36" s="317"/>
      <c r="T36" s="317"/>
      <c r="U36" s="419"/>
      <c r="V36" s="368"/>
      <c r="W36" s="370"/>
      <c r="X36" s="370"/>
      <c r="Y36" s="343"/>
      <c r="Z36" s="343"/>
      <c r="AA36" s="331"/>
      <c r="AB36" s="243"/>
      <c r="AC36" s="243"/>
      <c r="AD36" s="243"/>
      <c r="AE36" s="243"/>
      <c r="AF36" s="243"/>
      <c r="AG36" s="431"/>
      <c r="AH36" s="426"/>
    </row>
    <row r="37" spans="1:35" s="238" customFormat="1" ht="126" customHeight="1" x14ac:dyDescent="0.2">
      <c r="A37" s="239">
        <v>1</v>
      </c>
      <c r="B37" s="410"/>
      <c r="C37" s="251" t="s">
        <v>339</v>
      </c>
      <c r="D37" s="365" t="s">
        <v>340</v>
      </c>
      <c r="E37" s="423" t="s">
        <v>261</v>
      </c>
      <c r="F37" s="361">
        <f>IF($G37="Rara vez",1,IF($G37="Improbable",2,IF($G37="Posible",3,IF($G37="Probable",4, IF($G37="Casi seguro",5,)))))</f>
        <v>1</v>
      </c>
      <c r="G37" s="361" t="s">
        <v>283</v>
      </c>
      <c r="H37" s="361">
        <f>IF($I37="Moderado",5,IF($I37="Mayor",10,IF($I37="Catastrófico",20,)))</f>
        <v>10</v>
      </c>
      <c r="I37" s="427" t="s">
        <v>245</v>
      </c>
      <c r="J37" s="361">
        <f>+$F37*$H37</f>
        <v>10</v>
      </c>
      <c r="K37" s="361" t="s">
        <v>284</v>
      </c>
      <c r="L37" s="241" t="s">
        <v>341</v>
      </c>
      <c r="M37" s="242">
        <f>+'[1]VALORACION CONTROLES'!L92</f>
        <v>100</v>
      </c>
      <c r="N37" s="242">
        <f>+'[1]VALORACION CONTROLES'!O92</f>
        <v>2</v>
      </c>
      <c r="O37" s="361">
        <f>IF($P37="Rara vez",1,IF($P37="Improbable",2,IF($P37="Posible",3,IF($P37="Probable",4, IF($P37="Casi seguro",5,)))))</f>
        <v>1</v>
      </c>
      <c r="P37" s="361" t="s">
        <v>283</v>
      </c>
      <c r="Q37" s="361">
        <f>IF($I37="Moderado",5,IF($I37="Mayor",10,IF($I37="Catastrófico",20,)))</f>
        <v>10</v>
      </c>
      <c r="R37" s="361" t="s">
        <v>245</v>
      </c>
      <c r="S37" s="361">
        <f>+O37*Q37</f>
        <v>10</v>
      </c>
      <c r="T37" s="361" t="s">
        <v>284</v>
      </c>
      <c r="U37" s="377" t="s">
        <v>342</v>
      </c>
      <c r="V37" s="436" t="s">
        <v>343</v>
      </c>
      <c r="W37" s="375" t="s">
        <v>344</v>
      </c>
      <c r="X37" s="375" t="s">
        <v>252</v>
      </c>
      <c r="Y37" s="362"/>
      <c r="Z37" s="362"/>
      <c r="AA37" s="437"/>
      <c r="AB37" s="243"/>
      <c r="AC37" s="243"/>
      <c r="AD37" s="243"/>
      <c r="AE37" s="243"/>
      <c r="AF37" s="243"/>
      <c r="AG37" s="376" t="s">
        <v>345</v>
      </c>
      <c r="AH37" s="383">
        <v>1</v>
      </c>
    </row>
    <row r="38" spans="1:35" s="238" customFormat="1" ht="114" customHeight="1" x14ac:dyDescent="0.2">
      <c r="A38" s="239"/>
      <c r="B38" s="410"/>
      <c r="C38" s="251" t="s">
        <v>346</v>
      </c>
      <c r="D38" s="322"/>
      <c r="E38" s="325"/>
      <c r="F38" s="317"/>
      <c r="G38" s="317"/>
      <c r="H38" s="317"/>
      <c r="I38" s="428"/>
      <c r="J38" s="317"/>
      <c r="K38" s="317"/>
      <c r="L38" s="241" t="s">
        <v>347</v>
      </c>
      <c r="M38" s="242">
        <f>+'[1]VALORACION CONTROLES'!L94</f>
        <v>100</v>
      </c>
      <c r="N38" s="242">
        <f>+'[1]VALORACION CONTROLES'!O93</f>
        <v>0</v>
      </c>
      <c r="O38" s="317"/>
      <c r="P38" s="317"/>
      <c r="Q38" s="317"/>
      <c r="R38" s="317"/>
      <c r="S38" s="317"/>
      <c r="T38" s="317"/>
      <c r="U38" s="353"/>
      <c r="V38" s="356"/>
      <c r="W38" s="340"/>
      <c r="X38" s="340"/>
      <c r="Y38" s="363"/>
      <c r="Z38" s="363"/>
      <c r="AA38" s="413"/>
      <c r="AB38" s="243"/>
      <c r="AC38" s="243"/>
      <c r="AD38" s="243"/>
      <c r="AE38" s="243"/>
      <c r="AF38" s="243"/>
      <c r="AG38" s="334"/>
      <c r="AH38" s="432"/>
    </row>
    <row r="39" spans="1:35" s="238" customFormat="1" ht="66.75" customHeight="1" thickBot="1" x14ac:dyDescent="0.25">
      <c r="A39" s="244"/>
      <c r="B39" s="411"/>
      <c r="C39" s="252" t="s">
        <v>339</v>
      </c>
      <c r="D39" s="323"/>
      <c r="E39" s="326"/>
      <c r="F39" s="327"/>
      <c r="G39" s="327"/>
      <c r="H39" s="327"/>
      <c r="I39" s="390"/>
      <c r="J39" s="327"/>
      <c r="K39" s="327"/>
      <c r="L39" s="246" t="s">
        <v>348</v>
      </c>
      <c r="M39" s="247"/>
      <c r="N39" s="247"/>
      <c r="O39" s="327"/>
      <c r="P39" s="327"/>
      <c r="Q39" s="327"/>
      <c r="R39" s="327"/>
      <c r="S39" s="327"/>
      <c r="T39" s="327"/>
      <c r="U39" s="354"/>
      <c r="V39" s="357"/>
      <c r="W39" s="341"/>
      <c r="X39" s="341"/>
      <c r="Y39" s="402"/>
      <c r="Z39" s="402"/>
      <c r="AA39" s="390"/>
      <c r="AB39" s="248"/>
      <c r="AC39" s="248"/>
      <c r="AD39" s="248"/>
      <c r="AE39" s="248"/>
      <c r="AF39" s="248"/>
      <c r="AG39" s="335"/>
      <c r="AH39" s="384"/>
      <c r="AI39" s="249"/>
    </row>
    <row r="40" spans="1:35" s="238" customFormat="1" ht="111" customHeight="1" x14ac:dyDescent="0.2">
      <c r="A40" s="232">
        <v>1</v>
      </c>
      <c r="B40" s="433" t="s">
        <v>349</v>
      </c>
      <c r="C40" s="233" t="s">
        <v>350</v>
      </c>
      <c r="D40" s="321" t="s">
        <v>351</v>
      </c>
      <c r="E40" s="324" t="s">
        <v>261</v>
      </c>
      <c r="F40" s="316">
        <f>IF($G40="Rara vez",1,IF($G40="Improbable",2,IF($G40="Posible",3,IF($G40="Probable",4, IF($G40="Casi seguro",5,)))))</f>
        <v>3</v>
      </c>
      <c r="G40" s="316" t="s">
        <v>244</v>
      </c>
      <c r="H40" s="316">
        <f>IF($I40="Moderado",5,IF($I40="Mayor",10,IF($I40="Catastrófico",20,)))</f>
        <v>10</v>
      </c>
      <c r="I40" s="316" t="s">
        <v>245</v>
      </c>
      <c r="J40" s="316">
        <f>+$F40*$H40</f>
        <v>30</v>
      </c>
      <c r="K40" s="316" t="s">
        <v>246</v>
      </c>
      <c r="L40" s="438" t="s">
        <v>352</v>
      </c>
      <c r="M40" s="316">
        <f>+'[1]VALORACION CONTROLES'!L107</f>
        <v>100</v>
      </c>
      <c r="N40" s="316">
        <f>+'[1]VALORACION CONTROLES'!O107</f>
        <v>2</v>
      </c>
      <c r="O40" s="316">
        <f>IF($P40="Rara vez",1,IF($P40="Improbable",2,IF($P40="Posible",3,IF($P40="Probable",4, IF($P40="Casi seguro",5,)))))</f>
        <v>1</v>
      </c>
      <c r="P40" s="316" t="s">
        <v>283</v>
      </c>
      <c r="Q40" s="316">
        <f>IF($I40="Moderado",5,IF($I40="Mayor",10,IF($I40="Catastrófico",20,)))</f>
        <v>10</v>
      </c>
      <c r="R40" s="316" t="s">
        <v>245</v>
      </c>
      <c r="S40" s="316">
        <f>+O40*Q40</f>
        <v>10</v>
      </c>
      <c r="T40" s="316" t="s">
        <v>284</v>
      </c>
      <c r="U40" s="352" t="s">
        <v>353</v>
      </c>
      <c r="V40" s="403" t="s">
        <v>298</v>
      </c>
      <c r="W40" s="339" t="s">
        <v>298</v>
      </c>
      <c r="X40" s="339" t="s">
        <v>298</v>
      </c>
      <c r="Y40" s="352"/>
      <c r="Z40" s="352"/>
      <c r="AA40" s="412"/>
      <c r="AB40" s="236"/>
      <c r="AC40" s="236"/>
      <c r="AD40" s="236"/>
      <c r="AE40" s="236"/>
      <c r="AF40" s="236"/>
      <c r="AG40" s="415" t="s">
        <v>354</v>
      </c>
      <c r="AH40" s="400" t="s">
        <v>278</v>
      </c>
      <c r="AI40" s="237"/>
    </row>
    <row r="41" spans="1:35" s="238" customFormat="1" ht="83.25" customHeight="1" x14ac:dyDescent="0.2">
      <c r="A41" s="239"/>
      <c r="B41" s="434"/>
      <c r="C41" s="240" t="s">
        <v>259</v>
      </c>
      <c r="D41" s="322"/>
      <c r="E41" s="325"/>
      <c r="F41" s="317"/>
      <c r="G41" s="317"/>
      <c r="H41" s="317"/>
      <c r="I41" s="317"/>
      <c r="J41" s="317"/>
      <c r="K41" s="317"/>
      <c r="L41" s="439"/>
      <c r="M41" s="358"/>
      <c r="N41" s="358"/>
      <c r="O41" s="317"/>
      <c r="P41" s="317"/>
      <c r="Q41" s="317"/>
      <c r="R41" s="317"/>
      <c r="S41" s="317"/>
      <c r="T41" s="317"/>
      <c r="U41" s="353"/>
      <c r="V41" s="379"/>
      <c r="W41" s="340"/>
      <c r="X41" s="340"/>
      <c r="Y41" s="353"/>
      <c r="Z41" s="353"/>
      <c r="AA41" s="413"/>
      <c r="AB41" s="243"/>
      <c r="AC41" s="243"/>
      <c r="AD41" s="243"/>
      <c r="AE41" s="243"/>
      <c r="AF41" s="243"/>
      <c r="AG41" s="431"/>
      <c r="AH41" s="426"/>
    </row>
    <row r="42" spans="1:35" s="238" customFormat="1" ht="114" customHeight="1" x14ac:dyDescent="0.2">
      <c r="A42" s="239">
        <v>1</v>
      </c>
      <c r="B42" s="434"/>
      <c r="C42" s="251" t="s">
        <v>355</v>
      </c>
      <c r="D42" s="365" t="s">
        <v>356</v>
      </c>
      <c r="E42" s="423" t="s">
        <v>261</v>
      </c>
      <c r="F42" s="361">
        <f>IF($G42="Rara vez",1,IF($G42="Improbable",2,IF($G42="Posible",3,IF($G42="Probable",4, IF($G42="Casi seguro",5,)))))</f>
        <v>3</v>
      </c>
      <c r="G42" s="361" t="s">
        <v>244</v>
      </c>
      <c r="H42" s="361">
        <f>IF($I42="Moderado",5,IF($I42="Mayor",10,IF($I42="Catastrófico",20,)))</f>
        <v>10</v>
      </c>
      <c r="I42" s="361" t="s">
        <v>245</v>
      </c>
      <c r="J42" s="361">
        <f>+$F42*$H42</f>
        <v>30</v>
      </c>
      <c r="K42" s="361" t="s">
        <v>246</v>
      </c>
      <c r="L42" s="377" t="s">
        <v>357</v>
      </c>
      <c r="M42" s="361">
        <f>+'[1]VALORACION CONTROLES'!L137</f>
        <v>95</v>
      </c>
      <c r="N42" s="361">
        <f>+'[1]VALORACION CONTROLES'!O137</f>
        <v>1</v>
      </c>
      <c r="O42" s="361">
        <f>IF($P42="Rara vez",1,IF($P42="Improbable",2,IF($P42="Posible",3,IF($P42="Probable",4, IF($P42="Casi seguro",5,)))))</f>
        <v>2</v>
      </c>
      <c r="P42" s="361" t="s">
        <v>248</v>
      </c>
      <c r="Q42" s="361">
        <f>IF($I42="Moderado",5,IF($I42="Mayor",10,IF($I42="Catastrófico",20,)))</f>
        <v>10</v>
      </c>
      <c r="R42" s="361" t="s">
        <v>245</v>
      </c>
      <c r="S42" s="361">
        <f>+O42*Q42</f>
        <v>20</v>
      </c>
      <c r="T42" s="361" t="s">
        <v>249</v>
      </c>
      <c r="U42" s="377" t="s">
        <v>358</v>
      </c>
      <c r="V42" s="436" t="s">
        <v>359</v>
      </c>
      <c r="W42" s="375" t="s">
        <v>360</v>
      </c>
      <c r="X42" s="375" t="s">
        <v>252</v>
      </c>
      <c r="Y42" s="377"/>
      <c r="Z42" s="377"/>
      <c r="AA42" s="381"/>
      <c r="AB42" s="243"/>
      <c r="AC42" s="243"/>
      <c r="AD42" s="243"/>
      <c r="AE42" s="243"/>
      <c r="AF42" s="243"/>
      <c r="AG42" s="376" t="s">
        <v>361</v>
      </c>
      <c r="AH42" s="383">
        <v>1</v>
      </c>
    </row>
    <row r="43" spans="1:35" s="238" customFormat="1" ht="69.75" customHeight="1" thickBot="1" x14ac:dyDescent="0.25">
      <c r="A43" s="244"/>
      <c r="B43" s="435"/>
      <c r="C43" s="252" t="s">
        <v>362</v>
      </c>
      <c r="D43" s="323"/>
      <c r="E43" s="326"/>
      <c r="F43" s="327"/>
      <c r="G43" s="327"/>
      <c r="H43" s="327"/>
      <c r="I43" s="327"/>
      <c r="J43" s="327"/>
      <c r="K43" s="327"/>
      <c r="L43" s="354"/>
      <c r="M43" s="327"/>
      <c r="N43" s="327"/>
      <c r="O43" s="327"/>
      <c r="P43" s="327"/>
      <c r="Q43" s="327"/>
      <c r="R43" s="327"/>
      <c r="S43" s="327"/>
      <c r="T43" s="327"/>
      <c r="U43" s="354"/>
      <c r="V43" s="357"/>
      <c r="W43" s="341"/>
      <c r="X43" s="341"/>
      <c r="Y43" s="354"/>
      <c r="Z43" s="354"/>
      <c r="AA43" s="332"/>
      <c r="AB43" s="248"/>
      <c r="AC43" s="248"/>
      <c r="AD43" s="248"/>
      <c r="AE43" s="248"/>
      <c r="AF43" s="248"/>
      <c r="AG43" s="335"/>
      <c r="AH43" s="384"/>
      <c r="AI43" s="249"/>
    </row>
    <row r="44" spans="1:35" s="238" customFormat="1" ht="92.25" customHeight="1" x14ac:dyDescent="0.2">
      <c r="A44" s="232">
        <v>1</v>
      </c>
      <c r="B44" s="440" t="s">
        <v>363</v>
      </c>
      <c r="C44" s="250" t="s">
        <v>364</v>
      </c>
      <c r="D44" s="321" t="s">
        <v>365</v>
      </c>
      <c r="E44" s="324" t="s">
        <v>261</v>
      </c>
      <c r="F44" s="316">
        <f>IF($G44="Rara vez",1,IF($G44="Improbable",2,IF($G44="Posible",3,IF($G44="Probable",4, IF($G44="Casi seguro",5,)))))</f>
        <v>3</v>
      </c>
      <c r="G44" s="316" t="s">
        <v>244</v>
      </c>
      <c r="H44" s="316">
        <f>IF($I44="Moderado",5,IF($I44="Mayor",10,IF($I44="Catastrófico",20,)))</f>
        <v>10</v>
      </c>
      <c r="I44" s="316" t="s">
        <v>245</v>
      </c>
      <c r="J44" s="316">
        <f>+$F44*$H44</f>
        <v>30</v>
      </c>
      <c r="K44" s="316" t="s">
        <v>246</v>
      </c>
      <c r="L44" s="234" t="s">
        <v>366</v>
      </c>
      <c r="M44" s="235">
        <f>+'[1]VALORACION CONTROLES'!L152</f>
        <v>85</v>
      </c>
      <c r="N44" s="316">
        <f>+'[1]VALORACION CONTROLES'!O152</f>
        <v>1</v>
      </c>
      <c r="O44" s="316">
        <f>IF($P44="Rara vez",1,IF($P44="Improbable",2,IF($P44="Posible",3,IF($P44="Probable",4, IF($P44="Casi seguro",5,)))))</f>
        <v>2</v>
      </c>
      <c r="P44" s="316" t="s">
        <v>248</v>
      </c>
      <c r="Q44" s="316">
        <f>IF($I44="Moderado",5,IF($I44="Mayor",10,IF($I44="Catastrófico",20,)))</f>
        <v>10</v>
      </c>
      <c r="R44" s="316" t="s">
        <v>245</v>
      </c>
      <c r="S44" s="316">
        <f>+O44*Q44</f>
        <v>20</v>
      </c>
      <c r="T44" s="316" t="s">
        <v>249</v>
      </c>
      <c r="U44" s="342" t="s">
        <v>367</v>
      </c>
      <c r="V44" s="403">
        <v>44195</v>
      </c>
      <c r="W44" s="339" t="s">
        <v>368</v>
      </c>
      <c r="X44" s="339" t="s">
        <v>252</v>
      </c>
      <c r="Y44" s="342"/>
      <c r="Z44" s="342"/>
      <c r="AA44" s="330"/>
      <c r="AB44" s="236"/>
      <c r="AC44" s="236"/>
      <c r="AD44" s="236"/>
      <c r="AE44" s="236"/>
      <c r="AF44" s="236"/>
      <c r="AG44" s="333" t="s">
        <v>369</v>
      </c>
      <c r="AH44" s="406">
        <v>1</v>
      </c>
      <c r="AI44" s="237"/>
    </row>
    <row r="45" spans="1:35" s="238" customFormat="1" ht="90.75" customHeight="1" x14ac:dyDescent="0.2">
      <c r="A45" s="239"/>
      <c r="B45" s="441"/>
      <c r="C45" s="251" t="s">
        <v>370</v>
      </c>
      <c r="D45" s="322"/>
      <c r="E45" s="325"/>
      <c r="F45" s="317"/>
      <c r="G45" s="317"/>
      <c r="H45" s="317"/>
      <c r="I45" s="317"/>
      <c r="J45" s="317"/>
      <c r="K45" s="317"/>
      <c r="L45" s="241" t="s">
        <v>371</v>
      </c>
      <c r="M45" s="242">
        <f>+'[1]VALORACION CONTROLES'!L154</f>
        <v>85</v>
      </c>
      <c r="N45" s="317"/>
      <c r="O45" s="317"/>
      <c r="P45" s="317"/>
      <c r="Q45" s="317"/>
      <c r="R45" s="317"/>
      <c r="S45" s="317"/>
      <c r="T45" s="317"/>
      <c r="U45" s="343"/>
      <c r="V45" s="379"/>
      <c r="W45" s="340"/>
      <c r="X45" s="340"/>
      <c r="Y45" s="343"/>
      <c r="Z45" s="343"/>
      <c r="AA45" s="331"/>
      <c r="AB45" s="243"/>
      <c r="AC45" s="243"/>
      <c r="AD45" s="243"/>
      <c r="AE45" s="243"/>
      <c r="AF45" s="243"/>
      <c r="AG45" s="334"/>
      <c r="AH45" s="407"/>
    </row>
    <row r="46" spans="1:35" s="238" customFormat="1" ht="88.5" customHeight="1" x14ac:dyDescent="0.2">
      <c r="A46" s="239"/>
      <c r="B46" s="441"/>
      <c r="C46" s="251" t="s">
        <v>316</v>
      </c>
      <c r="D46" s="322"/>
      <c r="E46" s="325"/>
      <c r="F46" s="317"/>
      <c r="G46" s="317"/>
      <c r="H46" s="317"/>
      <c r="I46" s="317"/>
      <c r="J46" s="317"/>
      <c r="K46" s="317"/>
      <c r="L46" s="377" t="s">
        <v>372</v>
      </c>
      <c r="M46" s="361">
        <f>+'[1]VALORACION CONTROLES'!L156</f>
        <v>100</v>
      </c>
      <c r="N46" s="317"/>
      <c r="O46" s="317"/>
      <c r="P46" s="317"/>
      <c r="Q46" s="317"/>
      <c r="R46" s="317"/>
      <c r="S46" s="317"/>
      <c r="T46" s="317"/>
      <c r="U46" s="343"/>
      <c r="V46" s="379"/>
      <c r="W46" s="340"/>
      <c r="X46" s="340"/>
      <c r="Y46" s="343"/>
      <c r="Z46" s="343"/>
      <c r="AA46" s="331"/>
      <c r="AB46" s="243"/>
      <c r="AC46" s="243"/>
      <c r="AD46" s="243"/>
      <c r="AE46" s="243"/>
      <c r="AF46" s="243"/>
      <c r="AG46" s="334"/>
      <c r="AH46" s="407"/>
    </row>
    <row r="47" spans="1:35" s="238" customFormat="1" ht="28.5" x14ac:dyDescent="0.2">
      <c r="A47" s="239"/>
      <c r="B47" s="441"/>
      <c r="C47" s="251" t="s">
        <v>350</v>
      </c>
      <c r="D47" s="348"/>
      <c r="E47" s="443"/>
      <c r="F47" s="317"/>
      <c r="G47" s="317"/>
      <c r="H47" s="317"/>
      <c r="I47" s="317"/>
      <c r="J47" s="317"/>
      <c r="K47" s="358"/>
      <c r="L47" s="380"/>
      <c r="M47" s="358"/>
      <c r="N47" s="358"/>
      <c r="O47" s="317"/>
      <c r="P47" s="317"/>
      <c r="Q47" s="317"/>
      <c r="R47" s="317"/>
      <c r="S47" s="317"/>
      <c r="T47" s="358"/>
      <c r="U47" s="359"/>
      <c r="V47" s="379"/>
      <c r="W47" s="340"/>
      <c r="X47" s="340"/>
      <c r="Y47" s="359"/>
      <c r="Z47" s="359"/>
      <c r="AA47" s="331"/>
      <c r="AB47" s="243"/>
      <c r="AC47" s="243"/>
      <c r="AD47" s="243"/>
      <c r="AE47" s="243"/>
      <c r="AF47" s="243"/>
      <c r="AG47" s="364"/>
      <c r="AH47" s="444"/>
    </row>
    <row r="48" spans="1:35" s="238" customFormat="1" ht="80.25" customHeight="1" x14ac:dyDescent="0.2">
      <c r="A48" s="239">
        <v>1</v>
      </c>
      <c r="B48" s="441"/>
      <c r="C48" s="251" t="s">
        <v>373</v>
      </c>
      <c r="D48" s="365" t="s">
        <v>374</v>
      </c>
      <c r="E48" s="366" t="s">
        <v>375</v>
      </c>
      <c r="F48" s="361">
        <f>IF($G48="Rara vez",1,IF($G48="Improbable",2,IF($G48="Posible",3,IF($G48="Probable",4, IF($G48="Casi seguro",5,)))))</f>
        <v>3</v>
      </c>
      <c r="G48" s="361" t="s">
        <v>244</v>
      </c>
      <c r="H48" s="361">
        <f>IF($I48="Moderado",5,IF($I48="Mayor",10,IF($I48="Catastrófico",20,)))</f>
        <v>10</v>
      </c>
      <c r="I48" s="361" t="s">
        <v>245</v>
      </c>
      <c r="J48" s="361">
        <f>+$F48*$H48</f>
        <v>30</v>
      </c>
      <c r="K48" s="361" t="s">
        <v>246</v>
      </c>
      <c r="L48" s="241" t="s">
        <v>376</v>
      </c>
      <c r="M48" s="242">
        <f>+'[1]VALORACION CONTROLES'!L167</f>
        <v>100</v>
      </c>
      <c r="N48" s="361">
        <f>+'[1]VALORACION CONTROLES'!O167</f>
        <v>1</v>
      </c>
      <c r="O48" s="361">
        <f>IF($P48="Rara vez",1,IF($P48="Improbable",2,IF($P48="Posible",3,IF($P48="Probable",4, IF($P48="Casi seguro",5,)))))</f>
        <v>2</v>
      </c>
      <c r="P48" s="361" t="s">
        <v>248</v>
      </c>
      <c r="Q48" s="361">
        <f>IF($I48="Moderado",5,IF($I48="Mayor",10,IF($I48="Catastrófico",20,)))</f>
        <v>10</v>
      </c>
      <c r="R48" s="361" t="s">
        <v>245</v>
      </c>
      <c r="S48" s="361">
        <f>+O48*Q48</f>
        <v>20</v>
      </c>
      <c r="T48" s="361" t="s">
        <v>249</v>
      </c>
      <c r="U48" s="377" t="s">
        <v>377</v>
      </c>
      <c r="V48" s="378">
        <v>44012</v>
      </c>
      <c r="W48" s="375" t="s">
        <v>368</v>
      </c>
      <c r="X48" s="375" t="s">
        <v>252</v>
      </c>
      <c r="Y48" s="429"/>
      <c r="Z48" s="429"/>
      <c r="AA48" s="450"/>
      <c r="AB48" s="243"/>
      <c r="AC48" s="243"/>
      <c r="AD48" s="243"/>
      <c r="AE48" s="243"/>
      <c r="AF48" s="243"/>
      <c r="AG48" s="453" t="s">
        <v>378</v>
      </c>
      <c r="AH48" s="383" t="s">
        <v>278</v>
      </c>
    </row>
    <row r="49" spans="1:35" s="238" customFormat="1" ht="89.25" customHeight="1" x14ac:dyDescent="0.2">
      <c r="A49" s="239"/>
      <c r="B49" s="441"/>
      <c r="C49" s="251" t="s">
        <v>379</v>
      </c>
      <c r="D49" s="322"/>
      <c r="E49" s="350"/>
      <c r="F49" s="317"/>
      <c r="G49" s="317"/>
      <c r="H49" s="445"/>
      <c r="I49" s="317"/>
      <c r="J49" s="317"/>
      <c r="K49" s="317"/>
      <c r="L49" s="241" t="s">
        <v>380</v>
      </c>
      <c r="M49" s="242">
        <f>+'[1]VALORACION CONTROLES'!L169</f>
        <v>85</v>
      </c>
      <c r="N49" s="317"/>
      <c r="O49" s="317"/>
      <c r="P49" s="317"/>
      <c r="Q49" s="317"/>
      <c r="R49" s="317"/>
      <c r="S49" s="317"/>
      <c r="T49" s="317"/>
      <c r="U49" s="353"/>
      <c r="V49" s="379"/>
      <c r="W49" s="340"/>
      <c r="X49" s="340"/>
      <c r="Y49" s="343"/>
      <c r="Z49" s="343"/>
      <c r="AA49" s="451"/>
      <c r="AB49" s="243"/>
      <c r="AC49" s="243"/>
      <c r="AD49" s="243"/>
      <c r="AE49" s="243"/>
      <c r="AF49" s="243"/>
      <c r="AG49" s="454"/>
      <c r="AH49" s="432"/>
    </row>
    <row r="50" spans="1:35" s="238" customFormat="1" ht="84" customHeight="1" x14ac:dyDescent="0.2">
      <c r="A50" s="239"/>
      <c r="B50" s="441"/>
      <c r="C50" s="251" t="s">
        <v>350</v>
      </c>
      <c r="D50" s="322"/>
      <c r="E50" s="350"/>
      <c r="F50" s="317"/>
      <c r="G50" s="317"/>
      <c r="H50" s="445"/>
      <c r="I50" s="317"/>
      <c r="J50" s="317"/>
      <c r="K50" s="317"/>
      <c r="L50" s="241" t="s">
        <v>381</v>
      </c>
      <c r="M50" s="242">
        <f>+'[1]VALORACION CONTROLES'!L171</f>
        <v>100</v>
      </c>
      <c r="N50" s="358"/>
      <c r="O50" s="317"/>
      <c r="P50" s="317"/>
      <c r="Q50" s="317"/>
      <c r="R50" s="317"/>
      <c r="S50" s="317"/>
      <c r="T50" s="317"/>
      <c r="U50" s="353"/>
      <c r="V50" s="379"/>
      <c r="W50" s="340"/>
      <c r="X50" s="340"/>
      <c r="Y50" s="343"/>
      <c r="Z50" s="343"/>
      <c r="AA50" s="451"/>
      <c r="AB50" s="243"/>
      <c r="AC50" s="243"/>
      <c r="AD50" s="243"/>
      <c r="AE50" s="243"/>
      <c r="AF50" s="243"/>
      <c r="AG50" s="454"/>
      <c r="AH50" s="432"/>
    </row>
    <row r="51" spans="1:35" s="238" customFormat="1" ht="49.5" customHeight="1" thickBot="1" x14ac:dyDescent="0.25">
      <c r="A51" s="244">
        <f>+A48+1</f>
        <v>2</v>
      </c>
      <c r="B51" s="442"/>
      <c r="C51" s="252" t="s">
        <v>382</v>
      </c>
      <c r="D51" s="323"/>
      <c r="E51" s="392"/>
      <c r="F51" s="327"/>
      <c r="G51" s="327"/>
      <c r="H51" s="446"/>
      <c r="I51" s="327"/>
      <c r="J51" s="327"/>
      <c r="K51" s="327"/>
      <c r="L51" s="246"/>
      <c r="M51" s="247"/>
      <c r="N51" s="247"/>
      <c r="O51" s="327"/>
      <c r="P51" s="327"/>
      <c r="Q51" s="327"/>
      <c r="R51" s="327"/>
      <c r="S51" s="327"/>
      <c r="T51" s="327"/>
      <c r="U51" s="354"/>
      <c r="V51" s="391"/>
      <c r="W51" s="341"/>
      <c r="X51" s="341"/>
      <c r="Y51" s="344"/>
      <c r="Z51" s="344"/>
      <c r="AA51" s="452"/>
      <c r="AB51" s="248"/>
      <c r="AC51" s="248"/>
      <c r="AD51" s="248"/>
      <c r="AE51" s="248"/>
      <c r="AF51" s="248"/>
      <c r="AG51" s="455"/>
      <c r="AH51" s="384"/>
      <c r="AI51" s="249"/>
    </row>
    <row r="52" spans="1:35" s="238" customFormat="1" ht="128.25" x14ac:dyDescent="0.2">
      <c r="A52" s="232">
        <v>1</v>
      </c>
      <c r="B52" s="447" t="s">
        <v>383</v>
      </c>
      <c r="C52" s="250" t="s">
        <v>384</v>
      </c>
      <c r="D52" s="321" t="s">
        <v>385</v>
      </c>
      <c r="E52" s="349" t="s">
        <v>386</v>
      </c>
      <c r="F52" s="316">
        <f>IF($G52="Rara vez",1,IF($G52="Improbable",2,IF($G52="Posible",3,IF($G52="Probable",4, IF($G52="Casi seguro",5,)))))</f>
        <v>4</v>
      </c>
      <c r="G52" s="316" t="s">
        <v>387</v>
      </c>
      <c r="H52" s="316">
        <f>IF($I52="Moderado",5,IF($I52="Mayor",10,IF($I52="Catastrófico",20,)))</f>
        <v>10</v>
      </c>
      <c r="I52" s="316" t="s">
        <v>245</v>
      </c>
      <c r="J52" s="316">
        <f>+$F52*$H52</f>
        <v>40</v>
      </c>
      <c r="K52" s="316" t="s">
        <v>246</v>
      </c>
      <c r="L52" s="234" t="s">
        <v>388</v>
      </c>
      <c r="M52" s="235">
        <f>+'[1]VALORACION CONTROLES'!L182</f>
        <v>85</v>
      </c>
      <c r="N52" s="316">
        <f>+'[1]VALORACION CONTROLES'!O182</f>
        <v>1</v>
      </c>
      <c r="O52" s="316">
        <f>IF($P52="Rara vez",1,IF($P52="Improbable",2,IF($P52="Posible",3,IF($P52="Probable",4, IF($P52="Casi seguro",5,)))))</f>
        <v>3</v>
      </c>
      <c r="P52" s="316" t="s">
        <v>244</v>
      </c>
      <c r="Q52" s="316">
        <f>IF($I52="Moderado",5,IF($I52="Mayor",10,IF($I52="Catastrófico",20,)))</f>
        <v>10</v>
      </c>
      <c r="R52" s="316" t="s">
        <v>245</v>
      </c>
      <c r="S52" s="316">
        <f>+O52*Q52</f>
        <v>30</v>
      </c>
      <c r="T52" s="316" t="s">
        <v>246</v>
      </c>
      <c r="U52" s="401" t="s">
        <v>389</v>
      </c>
      <c r="V52" s="403">
        <v>44196</v>
      </c>
      <c r="W52" s="339" t="s">
        <v>390</v>
      </c>
      <c r="X52" s="339" t="s">
        <v>252</v>
      </c>
      <c r="Y52" s="342"/>
      <c r="Z52" s="342"/>
      <c r="AA52" s="456"/>
      <c r="AB52" s="236"/>
      <c r="AC52" s="236"/>
      <c r="AD52" s="236"/>
      <c r="AE52" s="236"/>
      <c r="AF52" s="236"/>
      <c r="AG52" s="333" t="s">
        <v>391</v>
      </c>
      <c r="AH52" s="400">
        <v>1</v>
      </c>
      <c r="AI52" s="237"/>
    </row>
    <row r="53" spans="1:35" s="238" customFormat="1" ht="78" customHeight="1" x14ac:dyDescent="0.2">
      <c r="A53" s="239"/>
      <c r="B53" s="448"/>
      <c r="C53" s="251" t="s">
        <v>392</v>
      </c>
      <c r="D53" s="322"/>
      <c r="E53" s="350"/>
      <c r="F53" s="317"/>
      <c r="G53" s="317"/>
      <c r="H53" s="317"/>
      <c r="I53" s="317"/>
      <c r="J53" s="317"/>
      <c r="K53" s="317"/>
      <c r="L53" s="377" t="s">
        <v>393</v>
      </c>
      <c r="M53" s="361">
        <f>+'[1]VALORACION CONTROLES'!L184</f>
        <v>85</v>
      </c>
      <c r="N53" s="317"/>
      <c r="O53" s="317"/>
      <c r="P53" s="317"/>
      <c r="Q53" s="317"/>
      <c r="R53" s="317"/>
      <c r="S53" s="317"/>
      <c r="T53" s="317"/>
      <c r="U53" s="363"/>
      <c r="V53" s="379"/>
      <c r="W53" s="340"/>
      <c r="X53" s="340"/>
      <c r="Y53" s="343"/>
      <c r="Z53" s="343"/>
      <c r="AA53" s="451"/>
      <c r="AB53" s="243"/>
      <c r="AC53" s="243"/>
      <c r="AD53" s="243"/>
      <c r="AE53" s="243"/>
      <c r="AF53" s="243"/>
      <c r="AG53" s="334"/>
      <c r="AH53" s="432"/>
    </row>
    <row r="54" spans="1:35" s="238" customFormat="1" ht="42.75" x14ac:dyDescent="0.2">
      <c r="A54" s="239"/>
      <c r="B54" s="448"/>
      <c r="C54" s="251" t="s">
        <v>394</v>
      </c>
      <c r="D54" s="322"/>
      <c r="E54" s="350"/>
      <c r="F54" s="317"/>
      <c r="G54" s="317"/>
      <c r="H54" s="317"/>
      <c r="I54" s="317"/>
      <c r="J54" s="317"/>
      <c r="K54" s="317"/>
      <c r="L54" s="380"/>
      <c r="M54" s="358"/>
      <c r="N54" s="358"/>
      <c r="O54" s="317"/>
      <c r="P54" s="317"/>
      <c r="Q54" s="317"/>
      <c r="R54" s="317"/>
      <c r="S54" s="317"/>
      <c r="T54" s="317"/>
      <c r="U54" s="363"/>
      <c r="V54" s="379"/>
      <c r="W54" s="340"/>
      <c r="X54" s="340"/>
      <c r="Y54" s="343"/>
      <c r="Z54" s="343"/>
      <c r="AA54" s="451"/>
      <c r="AB54" s="243"/>
      <c r="AC54" s="243"/>
      <c r="AD54" s="243"/>
      <c r="AE54" s="243"/>
      <c r="AF54" s="243"/>
      <c r="AG54" s="364"/>
      <c r="AH54" s="426"/>
    </row>
    <row r="55" spans="1:35" s="238" customFormat="1" ht="106.5" customHeight="1" x14ac:dyDescent="0.2">
      <c r="A55" s="239">
        <v>1</v>
      </c>
      <c r="B55" s="448"/>
      <c r="C55" s="240" t="s">
        <v>395</v>
      </c>
      <c r="D55" s="365" t="s">
        <v>396</v>
      </c>
      <c r="E55" s="423" t="s">
        <v>261</v>
      </c>
      <c r="F55" s="361">
        <f>IF($G55="Rara vez",1,IF($G55="Improbable",2,IF($G55="Posible",3,IF($G55="Probable",4, IF($G55="Casi seguro",5,)))))</f>
        <v>3</v>
      </c>
      <c r="G55" s="361" t="s">
        <v>244</v>
      </c>
      <c r="H55" s="361">
        <f>IF($I55="Moderado",5,IF($I55="Mayor",10,IF($I55="Catastrófico",20,)))</f>
        <v>10</v>
      </c>
      <c r="I55" s="361" t="s">
        <v>245</v>
      </c>
      <c r="J55" s="361">
        <f>+$F55*$H55</f>
        <v>30</v>
      </c>
      <c r="K55" s="361" t="s">
        <v>246</v>
      </c>
      <c r="L55" s="241" t="s">
        <v>397</v>
      </c>
      <c r="M55" s="242">
        <f>+'[1]VALORACION CONTROLES'!L193</f>
        <v>100</v>
      </c>
      <c r="N55" s="361">
        <f>+'[1]VALORACION CONTROLES'!O193</f>
        <v>1</v>
      </c>
      <c r="O55" s="361">
        <f>IF($P55="Rara vez",1,IF($P55="Improbable",2,IF($P55="Posible",3,IF($P55="Probable",4, IF($P55="Casi seguro",5,)))))</f>
        <v>2</v>
      </c>
      <c r="P55" s="361" t="s">
        <v>248</v>
      </c>
      <c r="Q55" s="361">
        <f>IF($I55="Moderado",5,IF($I55="Mayor",10,IF($I55="Catastrófico",20,)))</f>
        <v>10</v>
      </c>
      <c r="R55" s="361" t="s">
        <v>245</v>
      </c>
      <c r="S55" s="361">
        <f>+O55*Q55</f>
        <v>20</v>
      </c>
      <c r="T55" s="361" t="s">
        <v>249</v>
      </c>
      <c r="U55" s="362" t="s">
        <v>398</v>
      </c>
      <c r="V55" s="378" t="s">
        <v>399</v>
      </c>
      <c r="W55" s="375" t="s">
        <v>400</v>
      </c>
      <c r="X55" s="375" t="s">
        <v>252</v>
      </c>
      <c r="Y55" s="430"/>
      <c r="Z55" s="430"/>
      <c r="AA55" s="450"/>
      <c r="AB55" s="243"/>
      <c r="AC55" s="243"/>
      <c r="AD55" s="243"/>
      <c r="AE55" s="243"/>
      <c r="AF55" s="243"/>
      <c r="AG55" s="376" t="s">
        <v>401</v>
      </c>
      <c r="AH55" s="383">
        <v>1</v>
      </c>
    </row>
    <row r="56" spans="1:35" s="238" customFormat="1" ht="111" customHeight="1" x14ac:dyDescent="0.2">
      <c r="A56" s="239"/>
      <c r="B56" s="448"/>
      <c r="C56" s="240" t="s">
        <v>402</v>
      </c>
      <c r="D56" s="322"/>
      <c r="E56" s="325" t="s">
        <v>261</v>
      </c>
      <c r="F56" s="317"/>
      <c r="G56" s="317"/>
      <c r="H56" s="317"/>
      <c r="I56" s="317"/>
      <c r="J56" s="317"/>
      <c r="K56" s="317"/>
      <c r="L56" s="241" t="s">
        <v>403</v>
      </c>
      <c r="M56" s="242">
        <f>+'[1]VALORACION CONTROLES'!L195</f>
        <v>95</v>
      </c>
      <c r="N56" s="317"/>
      <c r="O56" s="317"/>
      <c r="P56" s="317"/>
      <c r="Q56" s="317"/>
      <c r="R56" s="317"/>
      <c r="S56" s="317"/>
      <c r="T56" s="317"/>
      <c r="U56" s="363"/>
      <c r="V56" s="379"/>
      <c r="W56" s="340"/>
      <c r="X56" s="340"/>
      <c r="Y56" s="416"/>
      <c r="Z56" s="416"/>
      <c r="AA56" s="451"/>
      <c r="AB56" s="243"/>
      <c r="AC56" s="243"/>
      <c r="AD56" s="243"/>
      <c r="AE56" s="243"/>
      <c r="AF56" s="243"/>
      <c r="AG56" s="334"/>
      <c r="AH56" s="432"/>
    </row>
    <row r="57" spans="1:35" s="238" customFormat="1" ht="99" customHeight="1" x14ac:dyDescent="0.2">
      <c r="A57" s="239"/>
      <c r="B57" s="448"/>
      <c r="C57" s="240" t="s">
        <v>404</v>
      </c>
      <c r="D57" s="348"/>
      <c r="E57" s="443" t="s">
        <v>261</v>
      </c>
      <c r="F57" s="317"/>
      <c r="G57" s="317"/>
      <c r="H57" s="317"/>
      <c r="I57" s="317"/>
      <c r="J57" s="317"/>
      <c r="K57" s="358"/>
      <c r="L57" s="241" t="s">
        <v>405</v>
      </c>
      <c r="M57" s="242">
        <f>+'[1]VALORACION CONTROLES'!L197</f>
        <v>100</v>
      </c>
      <c r="N57" s="358"/>
      <c r="O57" s="317"/>
      <c r="P57" s="317"/>
      <c r="Q57" s="317"/>
      <c r="R57" s="317"/>
      <c r="S57" s="317"/>
      <c r="T57" s="358"/>
      <c r="U57" s="461"/>
      <c r="V57" s="379"/>
      <c r="W57" s="340"/>
      <c r="X57" s="340"/>
      <c r="Y57" s="431"/>
      <c r="Z57" s="431"/>
      <c r="AA57" s="460"/>
      <c r="AB57" s="243"/>
      <c r="AC57" s="243"/>
      <c r="AD57" s="243"/>
      <c r="AE57" s="243"/>
      <c r="AF57" s="243"/>
      <c r="AG57" s="364"/>
      <c r="AH57" s="426"/>
    </row>
    <row r="58" spans="1:35" s="238" customFormat="1" ht="97.5" customHeight="1" x14ac:dyDescent="0.2">
      <c r="A58" s="239">
        <v>1</v>
      </c>
      <c r="B58" s="448"/>
      <c r="C58" s="263" t="s">
        <v>406</v>
      </c>
      <c r="D58" s="365" t="s">
        <v>407</v>
      </c>
      <c r="E58" s="457" t="s">
        <v>408</v>
      </c>
      <c r="F58" s="361">
        <f>IF($G58="Rara vez",1,IF($G58="Improbable",2,IF($G58="Posible",3,IF($G58="Probable",4, IF($G58="Casi seguro",5,)))))</f>
        <v>3</v>
      </c>
      <c r="G58" s="361" t="s">
        <v>244</v>
      </c>
      <c r="H58" s="361">
        <f>IF($I58="Moderado",5,IF($I58="Mayor",10,IF($I58="Catastrófico",20,)))</f>
        <v>10</v>
      </c>
      <c r="I58" s="361" t="s">
        <v>245</v>
      </c>
      <c r="J58" s="361">
        <f>+$F58*$H58</f>
        <v>30</v>
      </c>
      <c r="K58" s="361" t="s">
        <v>246</v>
      </c>
      <c r="L58" s="241" t="s">
        <v>409</v>
      </c>
      <c r="M58" s="242">
        <f>+'[1]VALORACION CONTROLES'!N208</f>
        <v>100</v>
      </c>
      <c r="N58" s="242">
        <f>+'[1]VALORACION CONTROLES'!O208</f>
        <v>1</v>
      </c>
      <c r="O58" s="361">
        <f>IF($P58="Rara vez",1,IF($P58="Improbable",2,IF($P58="Posible",3,IF($P58="Probable",4, IF($P58="Casi seguro",5,)))))</f>
        <v>2</v>
      </c>
      <c r="P58" s="361" t="s">
        <v>248</v>
      </c>
      <c r="Q58" s="361">
        <f>IF($I58="Moderado",5,IF($I58="Mayor",10,IF($I58="Catastrófico",20,)))</f>
        <v>10</v>
      </c>
      <c r="R58" s="361" t="s">
        <v>245</v>
      </c>
      <c r="S58" s="361">
        <f>+O58*Q58</f>
        <v>20</v>
      </c>
      <c r="T58" s="361" t="s">
        <v>249</v>
      </c>
      <c r="U58" s="376" t="s">
        <v>410</v>
      </c>
      <c r="V58" s="436">
        <v>44196</v>
      </c>
      <c r="W58" s="375" t="s">
        <v>411</v>
      </c>
      <c r="X58" s="375" t="s">
        <v>412</v>
      </c>
      <c r="Y58" s="429"/>
      <c r="Z58" s="429"/>
      <c r="AA58" s="450"/>
      <c r="AB58" s="243"/>
      <c r="AC58" s="243"/>
      <c r="AD58" s="243"/>
      <c r="AE58" s="243"/>
      <c r="AF58" s="243"/>
      <c r="AG58" s="376" t="s">
        <v>413</v>
      </c>
      <c r="AH58" s="462" t="s">
        <v>414</v>
      </c>
    </row>
    <row r="59" spans="1:35" s="238" customFormat="1" ht="114" customHeight="1" x14ac:dyDescent="0.2">
      <c r="A59" s="239"/>
      <c r="B59" s="448"/>
      <c r="C59" s="427" t="s">
        <v>415</v>
      </c>
      <c r="D59" s="322"/>
      <c r="E59" s="458"/>
      <c r="F59" s="317"/>
      <c r="G59" s="317"/>
      <c r="H59" s="317"/>
      <c r="I59" s="317"/>
      <c r="J59" s="317"/>
      <c r="K59" s="317"/>
      <c r="L59" s="241" t="s">
        <v>416</v>
      </c>
      <c r="M59" s="242">
        <f>+'[1]VALORACION CONTROLES'!N210</f>
        <v>50</v>
      </c>
      <c r="N59" s="242">
        <f>+'[1]VALORACION CONTROLES'!O210</f>
        <v>0</v>
      </c>
      <c r="O59" s="317"/>
      <c r="P59" s="317"/>
      <c r="Q59" s="317"/>
      <c r="R59" s="317"/>
      <c r="S59" s="317"/>
      <c r="T59" s="317"/>
      <c r="U59" s="334"/>
      <c r="V59" s="356"/>
      <c r="W59" s="340"/>
      <c r="X59" s="340"/>
      <c r="Y59" s="343"/>
      <c r="Z59" s="343"/>
      <c r="AA59" s="451"/>
      <c r="AB59" s="243"/>
      <c r="AC59" s="243"/>
      <c r="AD59" s="243"/>
      <c r="AE59" s="243"/>
      <c r="AF59" s="243"/>
      <c r="AG59" s="334"/>
      <c r="AH59" s="432"/>
    </row>
    <row r="60" spans="1:35" s="238" customFormat="1" ht="89.25" customHeight="1" thickBot="1" x14ac:dyDescent="0.25">
      <c r="A60" s="244"/>
      <c r="B60" s="449"/>
      <c r="C60" s="390"/>
      <c r="D60" s="323"/>
      <c r="E60" s="459"/>
      <c r="F60" s="327"/>
      <c r="G60" s="327"/>
      <c r="H60" s="327"/>
      <c r="I60" s="327"/>
      <c r="J60" s="327"/>
      <c r="K60" s="327"/>
      <c r="L60" s="246" t="s">
        <v>417</v>
      </c>
      <c r="M60" s="247">
        <f>+'[1]VALORACION CONTROLES'!N212</f>
        <v>100</v>
      </c>
      <c r="N60" s="247">
        <f>+'[1]VALORACION CONTROLES'!O212</f>
        <v>0</v>
      </c>
      <c r="O60" s="327"/>
      <c r="P60" s="327"/>
      <c r="Q60" s="327"/>
      <c r="R60" s="327"/>
      <c r="S60" s="327"/>
      <c r="T60" s="327"/>
      <c r="U60" s="335"/>
      <c r="V60" s="357"/>
      <c r="W60" s="341"/>
      <c r="X60" s="341"/>
      <c r="Y60" s="344"/>
      <c r="Z60" s="344"/>
      <c r="AA60" s="452"/>
      <c r="AB60" s="248"/>
      <c r="AC60" s="248"/>
      <c r="AD60" s="248"/>
      <c r="AE60" s="248"/>
      <c r="AF60" s="248"/>
      <c r="AG60" s="335"/>
      <c r="AH60" s="384"/>
      <c r="AI60" s="249"/>
    </row>
    <row r="61" spans="1:35" s="238" customFormat="1" ht="133.5" customHeight="1" x14ac:dyDescent="0.2">
      <c r="A61" s="232">
        <v>1</v>
      </c>
      <c r="B61" s="463" t="s">
        <v>418</v>
      </c>
      <c r="C61" s="250" t="s">
        <v>419</v>
      </c>
      <c r="D61" s="321" t="s">
        <v>420</v>
      </c>
      <c r="E61" s="349" t="s">
        <v>421</v>
      </c>
      <c r="F61" s="316">
        <f>IF($G61="Rara vez",1,IF($G61="Improbable",2,IF($G61="Posible",3,IF($G61="Probable",4, IF($G61="Casi seguro",5,)))))</f>
        <v>2</v>
      </c>
      <c r="G61" s="316" t="s">
        <v>248</v>
      </c>
      <c r="H61" s="316">
        <f>IF($I61="Moderado",5,IF($I61="Mayor",10,IF($I61="Catastrófico",20,)))</f>
        <v>10</v>
      </c>
      <c r="I61" s="316" t="s">
        <v>245</v>
      </c>
      <c r="J61" s="316">
        <f>+$F61*$H61</f>
        <v>20</v>
      </c>
      <c r="K61" s="316" t="s">
        <v>249</v>
      </c>
      <c r="L61" s="264" t="s">
        <v>422</v>
      </c>
      <c r="M61" s="235">
        <f>+'[1]VALORACION CONTROLES'!L223</f>
        <v>100</v>
      </c>
      <c r="N61" s="316">
        <f>+'[1]VALORACION CONTROLES'!O223</f>
        <v>2</v>
      </c>
      <c r="O61" s="316">
        <f>IF($P61="Rara vez",1,IF($P61="Improbable",2,IF($P61="Posible",3,IF($P61="Probable",4, IF($P61="Casi seguro",5,)))))</f>
        <v>1</v>
      </c>
      <c r="P61" s="316" t="s">
        <v>283</v>
      </c>
      <c r="Q61" s="316">
        <f>IF($I61="Moderado",5,IF($I61="Mayor",10,IF($I61="Catastrófico",20,)))</f>
        <v>10</v>
      </c>
      <c r="R61" s="316" t="s">
        <v>245</v>
      </c>
      <c r="S61" s="316">
        <f>+O61*Q61</f>
        <v>10</v>
      </c>
      <c r="T61" s="316" t="s">
        <v>284</v>
      </c>
      <c r="U61" s="401" t="s">
        <v>423</v>
      </c>
      <c r="V61" s="403">
        <v>44196</v>
      </c>
      <c r="W61" s="339" t="s">
        <v>46</v>
      </c>
      <c r="X61" s="339" t="s">
        <v>252</v>
      </c>
      <c r="Y61" s="342"/>
      <c r="Z61" s="342"/>
      <c r="AA61" s="456"/>
      <c r="AB61" s="264" t="s">
        <v>424</v>
      </c>
      <c r="AC61" s="236"/>
      <c r="AD61" s="236"/>
      <c r="AE61" s="236"/>
      <c r="AF61" s="236"/>
      <c r="AG61" s="333" t="s">
        <v>425</v>
      </c>
      <c r="AH61" s="400">
        <v>1</v>
      </c>
      <c r="AI61" s="237"/>
    </row>
    <row r="62" spans="1:35" s="238" customFormat="1" ht="134.25" customHeight="1" thickBot="1" x14ac:dyDescent="0.25">
      <c r="A62" s="244"/>
      <c r="B62" s="464"/>
      <c r="C62" s="252" t="s">
        <v>426</v>
      </c>
      <c r="D62" s="323"/>
      <c r="E62" s="392"/>
      <c r="F62" s="327"/>
      <c r="G62" s="327"/>
      <c r="H62" s="327"/>
      <c r="I62" s="327"/>
      <c r="J62" s="327"/>
      <c r="K62" s="327"/>
      <c r="L62" s="265" t="s">
        <v>247</v>
      </c>
      <c r="M62" s="247">
        <f>+'[1]VALORACION CONTROLES'!L225</f>
        <v>100</v>
      </c>
      <c r="N62" s="327"/>
      <c r="O62" s="327"/>
      <c r="P62" s="327"/>
      <c r="Q62" s="327"/>
      <c r="R62" s="327"/>
      <c r="S62" s="327"/>
      <c r="T62" s="327"/>
      <c r="U62" s="402"/>
      <c r="V62" s="391"/>
      <c r="W62" s="341"/>
      <c r="X62" s="341"/>
      <c r="Y62" s="344"/>
      <c r="Z62" s="344"/>
      <c r="AA62" s="327"/>
      <c r="AB62" s="246" t="s">
        <v>427</v>
      </c>
      <c r="AC62" s="248"/>
      <c r="AD62" s="248"/>
      <c r="AE62" s="248"/>
      <c r="AF62" s="248"/>
      <c r="AG62" s="335"/>
      <c r="AH62" s="384"/>
      <c r="AI62" s="249"/>
    </row>
    <row r="63" spans="1:35" s="238" customFormat="1" ht="128.25" customHeight="1" x14ac:dyDescent="0.2">
      <c r="A63" s="232">
        <v>1</v>
      </c>
      <c r="B63" s="465" t="s">
        <v>428</v>
      </c>
      <c r="C63" s="250" t="s">
        <v>429</v>
      </c>
      <c r="D63" s="321" t="s">
        <v>430</v>
      </c>
      <c r="E63" s="349" t="s">
        <v>431</v>
      </c>
      <c r="F63" s="316">
        <f>IF($G63="Rara vez",1,IF($G63="Improbable",2,IF($G63="Posible",3,IF($G63="Probable",4, IF($G63="Casi seguro",5,)))))</f>
        <v>2</v>
      </c>
      <c r="G63" s="316" t="s">
        <v>248</v>
      </c>
      <c r="H63" s="316">
        <f>IF($I63="Moderado",5,IF($I63="Mayor",10,IF($I63="Catastrófico",20,)))</f>
        <v>10</v>
      </c>
      <c r="I63" s="316" t="s">
        <v>245</v>
      </c>
      <c r="J63" s="316">
        <f>+$F63*$H63</f>
        <v>20</v>
      </c>
      <c r="K63" s="316" t="s">
        <v>284</v>
      </c>
      <c r="L63" s="266" t="s">
        <v>432</v>
      </c>
      <c r="M63" s="235">
        <f>+'[1]VALORACION CONTROLES'!L238</f>
        <v>100</v>
      </c>
      <c r="N63" s="316">
        <f>+'[1]VALORACION CONTROLES'!O238</f>
        <v>2</v>
      </c>
      <c r="O63" s="316">
        <f>IF($P63="Rara vez",1,IF($P63="Improbable",2,IF($P63="Posible",3,IF($P63="Probable",4, IF($P63="Casi seguro",5,)))))</f>
        <v>1</v>
      </c>
      <c r="P63" s="316" t="s">
        <v>283</v>
      </c>
      <c r="Q63" s="316">
        <f>IF($I63="Moderado",5,IF($I63="Mayor",10,IF($I63="Catastrófico",20,)))</f>
        <v>10</v>
      </c>
      <c r="R63" s="316" t="s">
        <v>245</v>
      </c>
      <c r="S63" s="316">
        <f>+O63*Q63</f>
        <v>10</v>
      </c>
      <c r="T63" s="316" t="s">
        <v>284</v>
      </c>
      <c r="U63" s="401" t="s">
        <v>433</v>
      </c>
      <c r="V63" s="403">
        <v>44196</v>
      </c>
      <c r="W63" s="339" t="s">
        <v>434</v>
      </c>
      <c r="X63" s="339" t="s">
        <v>252</v>
      </c>
      <c r="Y63" s="342"/>
      <c r="Z63" s="342"/>
      <c r="AA63" s="456"/>
      <c r="AB63" s="236"/>
      <c r="AC63" s="236"/>
      <c r="AD63" s="236"/>
      <c r="AE63" s="236"/>
      <c r="AF63" s="236"/>
      <c r="AG63" s="333" t="s">
        <v>435</v>
      </c>
      <c r="AH63" s="400">
        <v>1</v>
      </c>
      <c r="AI63" s="237"/>
    </row>
    <row r="64" spans="1:35" s="238" customFormat="1" ht="36" customHeight="1" x14ac:dyDescent="0.2">
      <c r="A64" s="239"/>
      <c r="B64" s="466"/>
      <c r="C64" s="251" t="s">
        <v>436</v>
      </c>
      <c r="D64" s="322"/>
      <c r="E64" s="350"/>
      <c r="F64" s="317"/>
      <c r="G64" s="317"/>
      <c r="H64" s="317"/>
      <c r="I64" s="317"/>
      <c r="J64" s="317"/>
      <c r="K64" s="317"/>
      <c r="L64" s="377" t="s">
        <v>437</v>
      </c>
      <c r="M64" s="361">
        <f>+'[1]VALORACION CONTROLES'!L240</f>
        <v>100</v>
      </c>
      <c r="N64" s="317"/>
      <c r="O64" s="317"/>
      <c r="P64" s="317"/>
      <c r="Q64" s="317"/>
      <c r="R64" s="317"/>
      <c r="S64" s="317"/>
      <c r="T64" s="317"/>
      <c r="U64" s="363"/>
      <c r="V64" s="379"/>
      <c r="W64" s="340"/>
      <c r="X64" s="340"/>
      <c r="Y64" s="343"/>
      <c r="Z64" s="343"/>
      <c r="AA64" s="451"/>
      <c r="AB64" s="243"/>
      <c r="AC64" s="243"/>
      <c r="AD64" s="243"/>
      <c r="AE64" s="243"/>
      <c r="AF64" s="243"/>
      <c r="AG64" s="334"/>
      <c r="AH64" s="432"/>
    </row>
    <row r="65" spans="1:35" s="238" customFormat="1" ht="79.5" customHeight="1" x14ac:dyDescent="0.2">
      <c r="A65" s="239"/>
      <c r="B65" s="466"/>
      <c r="C65" s="251" t="s">
        <v>438</v>
      </c>
      <c r="D65" s="322"/>
      <c r="E65" s="350"/>
      <c r="F65" s="317"/>
      <c r="G65" s="317"/>
      <c r="H65" s="317"/>
      <c r="I65" s="317"/>
      <c r="J65" s="317"/>
      <c r="K65" s="317"/>
      <c r="L65" s="380"/>
      <c r="M65" s="358"/>
      <c r="N65" s="358"/>
      <c r="O65" s="317"/>
      <c r="P65" s="317"/>
      <c r="Q65" s="317"/>
      <c r="R65" s="317"/>
      <c r="S65" s="317"/>
      <c r="T65" s="317"/>
      <c r="U65" s="363"/>
      <c r="V65" s="379"/>
      <c r="W65" s="340"/>
      <c r="X65" s="340"/>
      <c r="Y65" s="343"/>
      <c r="Z65" s="343"/>
      <c r="AA65" s="451"/>
      <c r="AB65" s="243"/>
      <c r="AC65" s="243"/>
      <c r="AD65" s="243"/>
      <c r="AE65" s="243"/>
      <c r="AF65" s="243"/>
      <c r="AG65" s="364"/>
      <c r="AH65" s="426"/>
    </row>
    <row r="66" spans="1:35" s="238" customFormat="1" ht="28.5" x14ac:dyDescent="0.2">
      <c r="A66" s="239">
        <v>1</v>
      </c>
      <c r="B66" s="466"/>
      <c r="C66" s="251" t="s">
        <v>318</v>
      </c>
      <c r="D66" s="365" t="s">
        <v>439</v>
      </c>
      <c r="E66" s="366" t="s">
        <v>440</v>
      </c>
      <c r="F66" s="361">
        <f>IF($G66="Rara vez",1,IF($G66="Improbable",2,IF($G66="Posible",3,IF($G66="Probable",4, IF($G66="Casi seguro",5,)))))</f>
        <v>3</v>
      </c>
      <c r="G66" s="361" t="s">
        <v>244</v>
      </c>
      <c r="H66" s="361"/>
      <c r="I66" s="361" t="s">
        <v>245</v>
      </c>
      <c r="J66" s="361">
        <f>+$F66*$H66</f>
        <v>0</v>
      </c>
      <c r="K66" s="361" t="s">
        <v>246</v>
      </c>
      <c r="L66" s="241" t="s">
        <v>441</v>
      </c>
      <c r="M66" s="242">
        <f>+'[1]VALORACION CONTROLES'!L253</f>
        <v>100</v>
      </c>
      <c r="N66" s="361">
        <f>+'[1]VALORACION CONTROLES'!O253</f>
        <v>2</v>
      </c>
      <c r="O66" s="361">
        <f>IF($P66="Rara vez",1,IF($P66="Improbable",2,IF($P66="Posible",3,IF($P66="Probable",4, IF($P66="Casi seguro",5,)))))</f>
        <v>1</v>
      </c>
      <c r="P66" s="361" t="s">
        <v>283</v>
      </c>
      <c r="Q66" s="361">
        <f>IF($I66="Moderado",5,IF($I66="Mayor",10,IF($I66="Catastrófico",20,)))</f>
        <v>10</v>
      </c>
      <c r="R66" s="361" t="s">
        <v>245</v>
      </c>
      <c r="S66" s="361">
        <f>+O66*Q66</f>
        <v>10</v>
      </c>
      <c r="T66" s="361" t="s">
        <v>284</v>
      </c>
      <c r="U66" s="377" t="s">
        <v>442</v>
      </c>
      <c r="V66" s="378" t="s">
        <v>443</v>
      </c>
      <c r="W66" s="375" t="s">
        <v>444</v>
      </c>
      <c r="X66" s="375" t="s">
        <v>252</v>
      </c>
      <c r="Y66" s="429"/>
      <c r="Z66" s="429"/>
      <c r="AA66" s="450"/>
      <c r="AB66" s="243"/>
      <c r="AC66" s="243"/>
      <c r="AD66" s="243"/>
      <c r="AE66" s="243"/>
      <c r="AF66" s="243"/>
      <c r="AG66" s="376" t="s">
        <v>445</v>
      </c>
      <c r="AH66" s="383">
        <v>1</v>
      </c>
    </row>
    <row r="67" spans="1:35" s="238" customFormat="1" ht="57" customHeight="1" x14ac:dyDescent="0.2">
      <c r="A67" s="239"/>
      <c r="B67" s="466"/>
      <c r="C67" s="251" t="s">
        <v>446</v>
      </c>
      <c r="D67" s="322"/>
      <c r="E67" s="350"/>
      <c r="F67" s="317"/>
      <c r="G67" s="317"/>
      <c r="H67" s="317"/>
      <c r="I67" s="317"/>
      <c r="J67" s="317"/>
      <c r="K67" s="317"/>
      <c r="L67" s="241" t="s">
        <v>447</v>
      </c>
      <c r="M67" s="242">
        <f>+'[1]VALORACION CONTROLES'!L255</f>
        <v>100</v>
      </c>
      <c r="N67" s="317"/>
      <c r="O67" s="317"/>
      <c r="P67" s="317"/>
      <c r="Q67" s="317"/>
      <c r="R67" s="317"/>
      <c r="S67" s="317"/>
      <c r="T67" s="317"/>
      <c r="U67" s="353"/>
      <c r="V67" s="379"/>
      <c r="W67" s="340"/>
      <c r="X67" s="340"/>
      <c r="Y67" s="343"/>
      <c r="Z67" s="359"/>
      <c r="AA67" s="317"/>
      <c r="AB67" s="243"/>
      <c r="AC67" s="243"/>
      <c r="AD67" s="243"/>
      <c r="AE67" s="243"/>
      <c r="AF67" s="243"/>
      <c r="AG67" s="334"/>
      <c r="AH67" s="432"/>
    </row>
    <row r="68" spans="1:35" s="238" customFormat="1" ht="36" customHeight="1" x14ac:dyDescent="0.2">
      <c r="A68" s="239"/>
      <c r="B68" s="466"/>
      <c r="C68" s="251" t="s">
        <v>448</v>
      </c>
      <c r="D68" s="322"/>
      <c r="E68" s="350"/>
      <c r="F68" s="317"/>
      <c r="G68" s="317"/>
      <c r="H68" s="317"/>
      <c r="I68" s="317"/>
      <c r="J68" s="317"/>
      <c r="K68" s="317"/>
      <c r="L68" s="241" t="s">
        <v>449</v>
      </c>
      <c r="M68" s="242">
        <f>+'[1]VALORACION CONTROLES'!L257</f>
        <v>100</v>
      </c>
      <c r="N68" s="317"/>
      <c r="O68" s="317"/>
      <c r="P68" s="317"/>
      <c r="Q68" s="317"/>
      <c r="R68" s="317"/>
      <c r="S68" s="317"/>
      <c r="T68" s="317"/>
      <c r="U68" s="353"/>
      <c r="V68" s="379"/>
      <c r="W68" s="340"/>
      <c r="X68" s="340"/>
      <c r="Y68" s="343"/>
      <c r="Z68" s="359"/>
      <c r="AA68" s="317"/>
      <c r="AB68" s="243"/>
      <c r="AC68" s="243"/>
      <c r="AD68" s="243"/>
      <c r="AE68" s="243"/>
      <c r="AF68" s="243"/>
      <c r="AG68" s="334"/>
      <c r="AH68" s="432"/>
    </row>
    <row r="69" spans="1:35" s="238" customFormat="1" ht="40.5" customHeight="1" x14ac:dyDescent="0.2">
      <c r="A69" s="239"/>
      <c r="B69" s="466"/>
      <c r="C69" s="251" t="s">
        <v>448</v>
      </c>
      <c r="D69" s="348"/>
      <c r="E69" s="351"/>
      <c r="F69" s="317"/>
      <c r="G69" s="317"/>
      <c r="H69" s="317"/>
      <c r="I69" s="317"/>
      <c r="J69" s="317"/>
      <c r="K69" s="358"/>
      <c r="L69" s="241" t="s">
        <v>450</v>
      </c>
      <c r="M69" s="242">
        <f>+'[1]VALORACION CONTROLES'!L259</f>
        <v>100</v>
      </c>
      <c r="N69" s="358"/>
      <c r="O69" s="317"/>
      <c r="P69" s="317"/>
      <c r="Q69" s="317"/>
      <c r="R69" s="317"/>
      <c r="S69" s="317"/>
      <c r="T69" s="358"/>
      <c r="U69" s="353"/>
      <c r="V69" s="379"/>
      <c r="W69" s="340"/>
      <c r="X69" s="340"/>
      <c r="Y69" s="343"/>
      <c r="Z69" s="359"/>
      <c r="AA69" s="317"/>
      <c r="AB69" s="243"/>
      <c r="AC69" s="243"/>
      <c r="AD69" s="243"/>
      <c r="AE69" s="243"/>
      <c r="AF69" s="243"/>
      <c r="AG69" s="364"/>
      <c r="AH69" s="426"/>
    </row>
    <row r="70" spans="1:35" s="238" customFormat="1" ht="28.5" x14ac:dyDescent="0.2">
      <c r="A70" s="239">
        <v>1</v>
      </c>
      <c r="B70" s="466"/>
      <c r="C70" s="251" t="s">
        <v>451</v>
      </c>
      <c r="D70" s="477" t="s">
        <v>452</v>
      </c>
      <c r="E70" s="479" t="s">
        <v>453</v>
      </c>
      <c r="F70" s="469">
        <f>IF($G70="Rara vez",1,IF($G70="Improbable",2,IF($G70="Posible",3,IF($G70="Probable",4, IF($G70="Casi seguro",5,)))))</f>
        <v>1</v>
      </c>
      <c r="G70" s="469" t="s">
        <v>283</v>
      </c>
      <c r="H70" s="361">
        <f>IF($I70="Moderado",5,IF($I70="Mayor",10,IF($I70="Catastrófico",20,)))</f>
        <v>10</v>
      </c>
      <c r="I70" s="469" t="s">
        <v>245</v>
      </c>
      <c r="J70" s="469">
        <f>+$F70*$H70</f>
        <v>10</v>
      </c>
      <c r="K70" s="361" t="s">
        <v>284</v>
      </c>
      <c r="L70" s="241" t="s">
        <v>454</v>
      </c>
      <c r="M70" s="242">
        <f>+'[1]VALORACION CONTROLES'!L568</f>
        <v>100</v>
      </c>
      <c r="N70" s="242">
        <f>+'[1]VALORACION CONTROLES'!O568</f>
        <v>2</v>
      </c>
      <c r="O70" s="469">
        <f>IF($P70="Rara vez",1,IF($P70="Improbable",2,IF($P70="Posible",3,IF($P70="Probable",4, IF($P70="Casi seguro",5,)))))</f>
        <v>1</v>
      </c>
      <c r="P70" s="469" t="s">
        <v>283</v>
      </c>
      <c r="Q70" s="469">
        <f>IF($I70="Moderado",5,IF($I70="Mayor",10,IF($I70="Catastrófico",20,)))</f>
        <v>10</v>
      </c>
      <c r="R70" s="469" t="s">
        <v>245</v>
      </c>
      <c r="S70" s="469">
        <f>+O70*Q70</f>
        <v>10</v>
      </c>
      <c r="T70" s="469" t="s">
        <v>284</v>
      </c>
      <c r="U70" s="471" t="s">
        <v>455</v>
      </c>
      <c r="V70" s="481" t="s">
        <v>456</v>
      </c>
      <c r="W70" s="370" t="s">
        <v>457</v>
      </c>
      <c r="X70" s="370" t="s">
        <v>252</v>
      </c>
      <c r="Y70" s="473"/>
      <c r="Z70" s="473"/>
      <c r="AA70" s="475"/>
      <c r="AB70" s="243"/>
      <c r="AC70" s="243"/>
      <c r="AD70" s="243"/>
      <c r="AE70" s="243"/>
      <c r="AF70" s="243"/>
      <c r="AG70" s="376" t="s">
        <v>458</v>
      </c>
      <c r="AH70" s="383">
        <v>1</v>
      </c>
    </row>
    <row r="71" spans="1:35" s="238" customFormat="1" ht="57" customHeight="1" x14ac:dyDescent="0.2">
      <c r="A71" s="239"/>
      <c r="B71" s="466"/>
      <c r="C71" s="251" t="s">
        <v>459</v>
      </c>
      <c r="D71" s="477"/>
      <c r="E71" s="479"/>
      <c r="F71" s="469"/>
      <c r="G71" s="469"/>
      <c r="H71" s="317"/>
      <c r="I71" s="469"/>
      <c r="J71" s="469"/>
      <c r="K71" s="317"/>
      <c r="L71" s="267" t="s">
        <v>460</v>
      </c>
      <c r="M71" s="242">
        <f>+'[1]VALORACION CONTROLES'!L570</f>
        <v>100</v>
      </c>
      <c r="N71" s="242">
        <f>+'[1]VALORACION CONTROLES'!O570</f>
        <v>0</v>
      </c>
      <c r="O71" s="469"/>
      <c r="P71" s="469"/>
      <c r="Q71" s="469"/>
      <c r="R71" s="469"/>
      <c r="S71" s="469"/>
      <c r="T71" s="469"/>
      <c r="U71" s="471"/>
      <c r="V71" s="481"/>
      <c r="W71" s="370"/>
      <c r="X71" s="370"/>
      <c r="Y71" s="473"/>
      <c r="Z71" s="473"/>
      <c r="AA71" s="475"/>
      <c r="AB71" s="243"/>
      <c r="AC71" s="243"/>
      <c r="AD71" s="243"/>
      <c r="AE71" s="243"/>
      <c r="AF71" s="243"/>
      <c r="AG71" s="334"/>
      <c r="AH71" s="432"/>
    </row>
    <row r="72" spans="1:35" s="238" customFormat="1" ht="102.75" customHeight="1" x14ac:dyDescent="0.2">
      <c r="A72" s="239"/>
      <c r="B72" s="466"/>
      <c r="C72" s="251" t="s">
        <v>461</v>
      </c>
      <c r="D72" s="477"/>
      <c r="E72" s="479"/>
      <c r="F72" s="469"/>
      <c r="G72" s="469"/>
      <c r="H72" s="317"/>
      <c r="I72" s="469"/>
      <c r="J72" s="469"/>
      <c r="K72" s="317"/>
      <c r="L72" s="241" t="s">
        <v>462</v>
      </c>
      <c r="M72" s="242">
        <f>+'[1]VALORACION CONTROLES'!L572</f>
        <v>100</v>
      </c>
      <c r="N72" s="242">
        <f>+'[1]VALORACION CONTROLES'!O572</f>
        <v>0</v>
      </c>
      <c r="O72" s="469"/>
      <c r="P72" s="469"/>
      <c r="Q72" s="469"/>
      <c r="R72" s="469"/>
      <c r="S72" s="469"/>
      <c r="T72" s="469"/>
      <c r="U72" s="471"/>
      <c r="V72" s="481"/>
      <c r="W72" s="370"/>
      <c r="X72" s="370"/>
      <c r="Y72" s="473"/>
      <c r="Z72" s="473"/>
      <c r="AA72" s="475"/>
      <c r="AB72" s="243"/>
      <c r="AC72" s="243"/>
      <c r="AD72" s="243"/>
      <c r="AE72" s="243"/>
      <c r="AF72" s="243"/>
      <c r="AG72" s="334"/>
      <c r="AH72" s="432"/>
    </row>
    <row r="73" spans="1:35" s="238" customFormat="1" ht="43.5" thickBot="1" x14ac:dyDescent="0.25">
      <c r="A73" s="244">
        <f>+A70+1</f>
        <v>2</v>
      </c>
      <c r="B73" s="467"/>
      <c r="C73" s="252" t="s">
        <v>463</v>
      </c>
      <c r="D73" s="478"/>
      <c r="E73" s="480"/>
      <c r="F73" s="470"/>
      <c r="G73" s="470"/>
      <c r="H73" s="327"/>
      <c r="I73" s="470"/>
      <c r="J73" s="470"/>
      <c r="K73" s="327"/>
      <c r="L73" s="246" t="s">
        <v>464</v>
      </c>
      <c r="M73" s="247">
        <f>+'[1]VALORACION CONTROLES'!L574</f>
        <v>100</v>
      </c>
      <c r="N73" s="247">
        <f>+'[1]VALORACION CONTROLES'!O574</f>
        <v>0</v>
      </c>
      <c r="O73" s="470"/>
      <c r="P73" s="470"/>
      <c r="Q73" s="470"/>
      <c r="R73" s="470"/>
      <c r="S73" s="470"/>
      <c r="T73" s="470"/>
      <c r="U73" s="472"/>
      <c r="V73" s="482"/>
      <c r="W73" s="468"/>
      <c r="X73" s="468"/>
      <c r="Y73" s="474"/>
      <c r="Z73" s="474"/>
      <c r="AA73" s="476"/>
      <c r="AB73" s="248"/>
      <c r="AC73" s="248"/>
      <c r="AD73" s="248"/>
      <c r="AE73" s="248"/>
      <c r="AF73" s="248"/>
      <c r="AG73" s="335"/>
      <c r="AH73" s="384"/>
      <c r="AI73" s="249"/>
    </row>
  </sheetData>
  <protectedRanges>
    <protectedRange sqref="U29:U31 U55:U57 U16:U21 U70:U73" name="Rango1_2_1"/>
    <protectedRange sqref="L41 L37:L39 L30:L31 L70 L72:L73" name="Rango1_2_1_1"/>
    <protectedRange sqref="W55:W57 W44:W47 W70:W73" name="Rango1_1_1_1"/>
    <protectedRange sqref="X55:X57 X42:X47 X22:X26 X70:X73" name="Rango1_1_1_2"/>
    <protectedRange sqref="L13:L15" name="Rango1_2_1_1_1"/>
    <protectedRange sqref="U13:U15" name="Rango1_2_1_2"/>
    <protectedRange sqref="W13:W15" name="Rango1_1_1_1_1"/>
    <protectedRange sqref="X13:X15" name="Rango1_1_1_2_1"/>
    <protectedRange sqref="L27:L28" name="Rango1_2_1_1_2"/>
    <protectedRange sqref="U27:U28" name="Rango1_2_1_3"/>
    <protectedRange sqref="W27:W28" name="Rango1_1_1_1_2"/>
    <protectedRange sqref="X27:X28" name="Rango1_1_1_2_2"/>
    <protectedRange sqref="W29:W31" name="Rango1_1_1_1_3"/>
    <protectedRange sqref="X29:X31" name="Rango1_1_1_2_3"/>
    <protectedRange sqref="L32:L36" name="Rango1_2_1_1_4"/>
    <protectedRange sqref="U32:U36" name="Rango1_2_1_5"/>
    <protectedRange sqref="W32:W36" name="Rango1_1_1_1_5"/>
    <protectedRange sqref="X35:X36" name="Rango1_1_1_2_5"/>
    <protectedRange sqref="U37:U39" name="Rango1_2_1_6"/>
    <protectedRange sqref="W37:W39" name="Rango1_1_1_1_6"/>
    <protectedRange sqref="X37:X39 X32:X34" name="Rango1_1_1_2_6"/>
    <protectedRange sqref="U40:U41" name="Rango1_2_1_7"/>
    <protectedRange sqref="W40:W41" name="Rango1_1_1_1_7"/>
    <protectedRange sqref="X40:X41" name="Rango1_1_1_2_7"/>
    <protectedRange sqref="L42:L43" name="Rango1_2_1_1_6"/>
    <protectedRange sqref="Y42:Y43 U42:U43" name="Rango1_2_1_9"/>
    <protectedRange sqref="W42:W43" name="Rango1_1_1_1_9"/>
    <protectedRange sqref="L48:L51" name="Rango1_2_1_1_7"/>
    <protectedRange sqref="U48:U51" name="Rango1_2_1_10"/>
    <protectedRange sqref="W48:W51" name="Rango1_1_1_1_10"/>
    <protectedRange sqref="X48:X51" name="Rango1_1_1_2_8"/>
    <protectedRange sqref="L52:L53" name="Rango1_2_1_1_8"/>
    <protectedRange sqref="U52:U54" name="Rango1_2_1_11"/>
    <protectedRange sqref="W52:W54" name="Rango1_1_1_1_11"/>
    <protectedRange sqref="X52:X54" name="Rango1_1_1_2_9"/>
    <protectedRange sqref="L55:L57" name="Rango1_2_1_1_10"/>
    <protectedRange sqref="AB62" name="Rango1_2_1_1_12"/>
    <protectedRange sqref="L61:L62 AB61" name="Rango1_2_1_1_2_1_1"/>
    <protectedRange sqref="U61:U62" name="Rango1_2_1_13"/>
    <protectedRange sqref="W61:W62" name="Rango1_1_1_1_13"/>
    <protectedRange sqref="X61:X62" name="Rango1_1_1_2_11"/>
    <protectedRange sqref="L63:L65" name="Rango1_2_1_1_9"/>
    <protectedRange sqref="W63:W65" name="Rango1_1_1_1_12"/>
    <protectedRange sqref="X63:X65" name="Rango1_1_1_2_10"/>
    <protectedRange sqref="U63:U65" name="Rango1_2_1_2_1"/>
    <protectedRange sqref="L67:L69" name="Rango1_2_1_1_13"/>
    <protectedRange sqref="U66:U69" name="Rango1_2_1_12"/>
    <protectedRange sqref="W66:W69" name="Rango1_1_1_1_14"/>
    <protectedRange sqref="X66:X69" name="Rango1_1_1_2_12"/>
    <protectedRange sqref="L16:L20" name="Rango1_2_1_1_15"/>
    <protectedRange sqref="W16:W18" name="Rango1_1_1_1_16"/>
    <protectedRange sqref="X16:X18" name="Rango1_1_1_2_14"/>
    <protectedRange sqref="L21" name="Rango1_2_1_1_16"/>
    <protectedRange sqref="W19:W21 W25:W26" name="Rango1_1_1_1_17"/>
    <protectedRange sqref="X19:X21" name="Rango1_1_1_2_15"/>
    <protectedRange sqref="L22:L24" name="Rango1_2_1_1_17"/>
    <protectedRange sqref="U22:U24" name="Rango1_2_1_14"/>
    <protectedRange sqref="L25:L26 U25:U26" name="Rango1_2_1_1_18"/>
    <protectedRange sqref="L44:L47" name="Rango1_2_1_1_29"/>
    <protectedRange sqref="C13:E15" name="Rango1_1_1_3"/>
    <protectedRange sqref="C29:E31" name="Rango1_1_1_4_2"/>
    <protectedRange sqref="C32:E34 C35:D36" name="Rango1_1_1_3_1"/>
    <protectedRange sqref="C37:D39" name="Rango1_1_1_3_2"/>
    <protectedRange sqref="C61:E62" name="Rango1_5_1_5"/>
    <protectedRange sqref="C25:E26" name="Rango1_1_1_8_1"/>
    <protectedRange sqref="X58:X60" name="Rango1_1_1_2_4"/>
    <protectedRange sqref="L58:L60" name="Rango1_2_1_1_11_1"/>
    <protectedRange sqref="C58:E60" name="Rango1_1_1_6_2"/>
    <protectedRange sqref="U58:U60" name="Rango1_2_1_15"/>
    <protectedRange sqref="W58:W60" name="Rango1_1_1_1_15"/>
  </protectedRanges>
  <mergeCells count="567">
    <mergeCell ref="Y70:Y73"/>
    <mergeCell ref="Z70:Z73"/>
    <mergeCell ref="AA70:AA73"/>
    <mergeCell ref="AH66:AH69"/>
    <mergeCell ref="D70:D73"/>
    <mergeCell ref="E70:E73"/>
    <mergeCell ref="F70:F73"/>
    <mergeCell ref="G70:G73"/>
    <mergeCell ref="H70:H73"/>
    <mergeCell ref="I70:I73"/>
    <mergeCell ref="J70:J73"/>
    <mergeCell ref="K70:K73"/>
    <mergeCell ref="O70:O73"/>
    <mergeCell ref="X66:X69"/>
    <mergeCell ref="Y66:Y69"/>
    <mergeCell ref="Z66:Z69"/>
    <mergeCell ref="AA66:AA69"/>
    <mergeCell ref="AG66:AG69"/>
    <mergeCell ref="R66:R69"/>
    <mergeCell ref="S66:S69"/>
    <mergeCell ref="AG70:AG73"/>
    <mergeCell ref="AH70:AH73"/>
    <mergeCell ref="V70:V73"/>
    <mergeCell ref="W70:W73"/>
    <mergeCell ref="X70:X73"/>
    <mergeCell ref="O66:O69"/>
    <mergeCell ref="P66:P69"/>
    <mergeCell ref="Q66:Q69"/>
    <mergeCell ref="P70:P73"/>
    <mergeCell ref="Q70:Q73"/>
    <mergeCell ref="R70:R73"/>
    <mergeCell ref="S70:S73"/>
    <mergeCell ref="T70:T73"/>
    <mergeCell ref="U70:U73"/>
    <mergeCell ref="G66:G69"/>
    <mergeCell ref="H66:H69"/>
    <mergeCell ref="I66:I69"/>
    <mergeCell ref="Y63:Y65"/>
    <mergeCell ref="Z63:Z65"/>
    <mergeCell ref="AA63:AA65"/>
    <mergeCell ref="K63:K65"/>
    <mergeCell ref="N63:N65"/>
    <mergeCell ref="O63:O65"/>
    <mergeCell ref="P63:P65"/>
    <mergeCell ref="Q63:Q65"/>
    <mergeCell ref="R63:R65"/>
    <mergeCell ref="L64:L65"/>
    <mergeCell ref="M64:M65"/>
    <mergeCell ref="T66:T69"/>
    <mergeCell ref="U66:U69"/>
    <mergeCell ref="V66:V69"/>
    <mergeCell ref="W66:W69"/>
    <mergeCell ref="J66:J69"/>
    <mergeCell ref="K66:K69"/>
    <mergeCell ref="N66:N69"/>
    <mergeCell ref="AG63:AG65"/>
    <mergeCell ref="AH63:AH65"/>
    <mergeCell ref="S63:S65"/>
    <mergeCell ref="T63:T65"/>
    <mergeCell ref="U63:U65"/>
    <mergeCell ref="V63:V65"/>
    <mergeCell ref="W63:W65"/>
    <mergeCell ref="X63:X65"/>
    <mergeCell ref="AH61:AH62"/>
    <mergeCell ref="X61:X62"/>
    <mergeCell ref="Y61:Y62"/>
    <mergeCell ref="Z61:Z62"/>
    <mergeCell ref="AA61:AA62"/>
    <mergeCell ref="AG61:AG62"/>
    <mergeCell ref="B63:B73"/>
    <mergeCell ref="D63:D65"/>
    <mergeCell ref="E63:E65"/>
    <mergeCell ref="F63:F65"/>
    <mergeCell ref="G63:G65"/>
    <mergeCell ref="H63:H65"/>
    <mergeCell ref="I63:I65"/>
    <mergeCell ref="J63:J65"/>
    <mergeCell ref="W61:W62"/>
    <mergeCell ref="Q61:Q62"/>
    <mergeCell ref="R61:R62"/>
    <mergeCell ref="S61:S62"/>
    <mergeCell ref="T61:T62"/>
    <mergeCell ref="U61:U62"/>
    <mergeCell ref="V61:V62"/>
    <mergeCell ref="I61:I62"/>
    <mergeCell ref="J61:J62"/>
    <mergeCell ref="K61:K62"/>
    <mergeCell ref="N61:N62"/>
    <mergeCell ref="O61:O62"/>
    <mergeCell ref="P61:P62"/>
    <mergeCell ref="D66:D69"/>
    <mergeCell ref="E66:E69"/>
    <mergeCell ref="F66:F69"/>
    <mergeCell ref="AG58:AG60"/>
    <mergeCell ref="AH58:AH60"/>
    <mergeCell ref="C59:C60"/>
    <mergeCell ref="B61:B62"/>
    <mergeCell ref="D61:D62"/>
    <mergeCell ref="E61:E62"/>
    <mergeCell ref="F61:F62"/>
    <mergeCell ref="G61:G62"/>
    <mergeCell ref="H61:H62"/>
    <mergeCell ref="V58:V60"/>
    <mergeCell ref="W58:W60"/>
    <mergeCell ref="X58:X60"/>
    <mergeCell ref="Y58:Y60"/>
    <mergeCell ref="Z58:Z60"/>
    <mergeCell ref="AA58:AA60"/>
    <mergeCell ref="P58:P60"/>
    <mergeCell ref="Q58:Q60"/>
    <mergeCell ref="R58:R60"/>
    <mergeCell ref="S58:S60"/>
    <mergeCell ref="T58:T60"/>
    <mergeCell ref="U58:U60"/>
    <mergeCell ref="AH55:AH57"/>
    <mergeCell ref="D58:D60"/>
    <mergeCell ref="E58:E60"/>
    <mergeCell ref="F58:F60"/>
    <mergeCell ref="G58:G60"/>
    <mergeCell ref="H58:H60"/>
    <mergeCell ref="I58:I60"/>
    <mergeCell ref="J58:J60"/>
    <mergeCell ref="K58:K60"/>
    <mergeCell ref="O58:O60"/>
    <mergeCell ref="X55:X57"/>
    <mergeCell ref="Y55:Y57"/>
    <mergeCell ref="Z55:Z57"/>
    <mergeCell ref="AA55:AA57"/>
    <mergeCell ref="AG55:AG57"/>
    <mergeCell ref="R55:R57"/>
    <mergeCell ref="S55:S57"/>
    <mergeCell ref="T55:T57"/>
    <mergeCell ref="U55:U57"/>
    <mergeCell ref="V55:V57"/>
    <mergeCell ref="W55:W57"/>
    <mergeCell ref="J55:J57"/>
    <mergeCell ref="K55:K57"/>
    <mergeCell ref="N55:N57"/>
    <mergeCell ref="O55:O57"/>
    <mergeCell ref="P55:P57"/>
    <mergeCell ref="Q55:Q57"/>
    <mergeCell ref="D55:D57"/>
    <mergeCell ref="E55:E57"/>
    <mergeCell ref="F55:F57"/>
    <mergeCell ref="G55:G57"/>
    <mergeCell ref="H55:H57"/>
    <mergeCell ref="I55:I57"/>
    <mergeCell ref="K48:K51"/>
    <mergeCell ref="Z52:Z54"/>
    <mergeCell ref="AA52:AA54"/>
    <mergeCell ref="AG52:AG54"/>
    <mergeCell ref="AH52:AH54"/>
    <mergeCell ref="L53:L54"/>
    <mergeCell ref="M53:M54"/>
    <mergeCell ref="T52:T54"/>
    <mergeCell ref="U52:U54"/>
    <mergeCell ref="V52:V54"/>
    <mergeCell ref="W52:W54"/>
    <mergeCell ref="X52:X54"/>
    <mergeCell ref="Y52:Y54"/>
    <mergeCell ref="N52:N54"/>
    <mergeCell ref="O52:O54"/>
    <mergeCell ref="P52:P54"/>
    <mergeCell ref="Q52:Q54"/>
    <mergeCell ref="R52:R54"/>
    <mergeCell ref="S52:S54"/>
    <mergeCell ref="D48:D51"/>
    <mergeCell ref="E48:E51"/>
    <mergeCell ref="F48:F51"/>
    <mergeCell ref="G48:G51"/>
    <mergeCell ref="H48:H51"/>
    <mergeCell ref="I48:I51"/>
    <mergeCell ref="AH48:AH51"/>
    <mergeCell ref="B52:B60"/>
    <mergeCell ref="D52:D54"/>
    <mergeCell ref="E52:E54"/>
    <mergeCell ref="F52:F54"/>
    <mergeCell ref="G52:G54"/>
    <mergeCell ref="H52:H54"/>
    <mergeCell ref="I52:I54"/>
    <mergeCell ref="J52:J54"/>
    <mergeCell ref="K52:K54"/>
    <mergeCell ref="X48:X51"/>
    <mergeCell ref="Y48:Y51"/>
    <mergeCell ref="Z48:Z51"/>
    <mergeCell ref="AA48:AA51"/>
    <mergeCell ref="AG48:AG51"/>
    <mergeCell ref="R48:R51"/>
    <mergeCell ref="S48:S51"/>
    <mergeCell ref="J48:J51"/>
    <mergeCell ref="AH44:AH47"/>
    <mergeCell ref="S44:S47"/>
    <mergeCell ref="T44:T47"/>
    <mergeCell ref="U44:U47"/>
    <mergeCell ref="V44:V47"/>
    <mergeCell ref="W44:W47"/>
    <mergeCell ref="X44:X47"/>
    <mergeCell ref="N48:N50"/>
    <mergeCell ref="O48:O51"/>
    <mergeCell ref="P48:P51"/>
    <mergeCell ref="Q48:Q51"/>
    <mergeCell ref="T48:T51"/>
    <mergeCell ref="U48:U51"/>
    <mergeCell ref="V48:V51"/>
    <mergeCell ref="W48:W51"/>
    <mergeCell ref="Y44:Y47"/>
    <mergeCell ref="Z44:Z47"/>
    <mergeCell ref="AA44:AA47"/>
    <mergeCell ref="AG44:AG47"/>
    <mergeCell ref="K44:K47"/>
    <mergeCell ref="N44:N47"/>
    <mergeCell ref="O44:O47"/>
    <mergeCell ref="P44:P47"/>
    <mergeCell ref="Q44:Q47"/>
    <mergeCell ref="R44:R47"/>
    <mergeCell ref="L46:L47"/>
    <mergeCell ref="M46:M47"/>
    <mergeCell ref="N42:N43"/>
    <mergeCell ref="O42:O43"/>
    <mergeCell ref="P42:P43"/>
    <mergeCell ref="AH42:AH43"/>
    <mergeCell ref="B44:B51"/>
    <mergeCell ref="D44:D47"/>
    <mergeCell ref="E44:E47"/>
    <mergeCell ref="F44:F47"/>
    <mergeCell ref="G44:G47"/>
    <mergeCell ref="H44:H47"/>
    <mergeCell ref="I44:I47"/>
    <mergeCell ref="J44:J47"/>
    <mergeCell ref="W42:W43"/>
    <mergeCell ref="X42:X43"/>
    <mergeCell ref="Y42:Y43"/>
    <mergeCell ref="Z42:Z43"/>
    <mergeCell ref="AA42:AA43"/>
    <mergeCell ref="AG42:AG43"/>
    <mergeCell ref="Q42:Q43"/>
    <mergeCell ref="R42:R43"/>
    <mergeCell ref="S42:S43"/>
    <mergeCell ref="T42:T43"/>
    <mergeCell ref="U42:U43"/>
    <mergeCell ref="V42:V43"/>
    <mergeCell ref="K42:K43"/>
    <mergeCell ref="L42:L43"/>
    <mergeCell ref="M42:M43"/>
    <mergeCell ref="Y40:Y41"/>
    <mergeCell ref="Z40:Z41"/>
    <mergeCell ref="AA40:AA41"/>
    <mergeCell ref="P40:P41"/>
    <mergeCell ref="Q40:Q41"/>
    <mergeCell ref="R40:R41"/>
    <mergeCell ref="S40:S41"/>
    <mergeCell ref="T40:T41"/>
    <mergeCell ref="U40:U41"/>
    <mergeCell ref="E42:E43"/>
    <mergeCell ref="F42:F43"/>
    <mergeCell ref="G42:G43"/>
    <mergeCell ref="H42:H43"/>
    <mergeCell ref="I42:I43"/>
    <mergeCell ref="J42:J43"/>
    <mergeCell ref="V40:V41"/>
    <mergeCell ref="W40:W41"/>
    <mergeCell ref="X40:X41"/>
    <mergeCell ref="J40:J41"/>
    <mergeCell ref="K40:K41"/>
    <mergeCell ref="L40:L41"/>
    <mergeCell ref="AG37:AG39"/>
    <mergeCell ref="AH37:AH39"/>
    <mergeCell ref="B40:B43"/>
    <mergeCell ref="D40:D41"/>
    <mergeCell ref="E40:E41"/>
    <mergeCell ref="F40:F41"/>
    <mergeCell ref="G40:G41"/>
    <mergeCell ref="H40:H41"/>
    <mergeCell ref="I40:I41"/>
    <mergeCell ref="V37:V39"/>
    <mergeCell ref="W37:W39"/>
    <mergeCell ref="X37:X39"/>
    <mergeCell ref="Y37:Y39"/>
    <mergeCell ref="Z37:Z39"/>
    <mergeCell ref="AA37:AA39"/>
    <mergeCell ref="P37:P39"/>
    <mergeCell ref="Q37:Q39"/>
    <mergeCell ref="R37:R39"/>
    <mergeCell ref="S37:S39"/>
    <mergeCell ref="T37:T39"/>
    <mergeCell ref="U37:U39"/>
    <mergeCell ref="AG40:AG41"/>
    <mergeCell ref="AH40:AH41"/>
    <mergeCell ref="D42:D43"/>
    <mergeCell ref="S35:S36"/>
    <mergeCell ref="T35:T36"/>
    <mergeCell ref="U35:U36"/>
    <mergeCell ref="V35:V36"/>
    <mergeCell ref="W35:W36"/>
    <mergeCell ref="Q35:Q36"/>
    <mergeCell ref="M40:M41"/>
    <mergeCell ref="N40:N41"/>
    <mergeCell ref="O40:O41"/>
    <mergeCell ref="D37:D39"/>
    <mergeCell ref="E37:E39"/>
    <mergeCell ref="F37:F39"/>
    <mergeCell ref="G37:G39"/>
    <mergeCell ref="H37:H39"/>
    <mergeCell ref="I37:I39"/>
    <mergeCell ref="J37:J39"/>
    <mergeCell ref="K37:K39"/>
    <mergeCell ref="O37:O39"/>
    <mergeCell ref="AH32:AH34"/>
    <mergeCell ref="D35:D36"/>
    <mergeCell ref="E35:E36"/>
    <mergeCell ref="F35:F36"/>
    <mergeCell ref="G35:G36"/>
    <mergeCell ref="H35:H36"/>
    <mergeCell ref="I35:I36"/>
    <mergeCell ref="J35:J36"/>
    <mergeCell ref="K35:K36"/>
    <mergeCell ref="W32:W34"/>
    <mergeCell ref="X32:X34"/>
    <mergeCell ref="Y32:Y34"/>
    <mergeCell ref="Z32:Z34"/>
    <mergeCell ref="AA32:AA34"/>
    <mergeCell ref="AG32:AG34"/>
    <mergeCell ref="Q32:Q34"/>
    <mergeCell ref="R32:R34"/>
    <mergeCell ref="AH35:AH36"/>
    <mergeCell ref="X35:X36"/>
    <mergeCell ref="Y35:Y36"/>
    <mergeCell ref="Z35:Z36"/>
    <mergeCell ref="AA35:AA36"/>
    <mergeCell ref="AG35:AG36"/>
    <mergeCell ref="R35:R36"/>
    <mergeCell ref="B32:B39"/>
    <mergeCell ref="D32:D34"/>
    <mergeCell ref="E32:E34"/>
    <mergeCell ref="F32:F34"/>
    <mergeCell ref="G32:G34"/>
    <mergeCell ref="H32:H34"/>
    <mergeCell ref="Z29:Z31"/>
    <mergeCell ref="AA29:AA31"/>
    <mergeCell ref="AG29:AG31"/>
    <mergeCell ref="S32:S34"/>
    <mergeCell ref="T32:T34"/>
    <mergeCell ref="U32:U34"/>
    <mergeCell ref="V32:V34"/>
    <mergeCell ref="I32:I34"/>
    <mergeCell ref="J32:J34"/>
    <mergeCell ref="K32:K34"/>
    <mergeCell ref="N32:N34"/>
    <mergeCell ref="O32:O34"/>
    <mergeCell ref="P32:P34"/>
    <mergeCell ref="L35:L36"/>
    <mergeCell ref="M35:M36"/>
    <mergeCell ref="N35:N36"/>
    <mergeCell ref="O35:O36"/>
    <mergeCell ref="P35:P36"/>
    <mergeCell ref="AH29:AH31"/>
    <mergeCell ref="L30:L31"/>
    <mergeCell ref="M30:M31"/>
    <mergeCell ref="T29:T31"/>
    <mergeCell ref="U29:U31"/>
    <mergeCell ref="V29:V31"/>
    <mergeCell ref="W29:W31"/>
    <mergeCell ref="X29:X31"/>
    <mergeCell ref="Y29:Y31"/>
    <mergeCell ref="N29:N31"/>
    <mergeCell ref="O29:O31"/>
    <mergeCell ref="P29:P31"/>
    <mergeCell ref="Q29:Q31"/>
    <mergeCell ref="R29:R31"/>
    <mergeCell ref="S29:S31"/>
    <mergeCell ref="AI27:AI28"/>
    <mergeCell ref="B29:B31"/>
    <mergeCell ref="D29:D31"/>
    <mergeCell ref="E29:E31"/>
    <mergeCell ref="F29:F31"/>
    <mergeCell ref="G29:G31"/>
    <mergeCell ref="H29:H31"/>
    <mergeCell ref="I29:I31"/>
    <mergeCell ref="J29:J31"/>
    <mergeCell ref="K29:K31"/>
    <mergeCell ref="Y27:Y28"/>
    <mergeCell ref="Z27:Z28"/>
    <mergeCell ref="AA27:AA28"/>
    <mergeCell ref="AG27:AG28"/>
    <mergeCell ref="AH27:AH28"/>
    <mergeCell ref="S27:S28"/>
    <mergeCell ref="T27:T28"/>
    <mergeCell ref="U27:U28"/>
    <mergeCell ref="V27:V28"/>
    <mergeCell ref="W27:W28"/>
    <mergeCell ref="X27:X28"/>
    <mergeCell ref="J27:J28"/>
    <mergeCell ref="K27:K28"/>
    <mergeCell ref="B27:B28"/>
    <mergeCell ref="D27:D28"/>
    <mergeCell ref="E27:E28"/>
    <mergeCell ref="F27:F28"/>
    <mergeCell ref="G27:G28"/>
    <mergeCell ref="H27:H28"/>
    <mergeCell ref="I27:I28"/>
    <mergeCell ref="V25:V26"/>
    <mergeCell ref="W25:W26"/>
    <mergeCell ref="P25:P26"/>
    <mergeCell ref="Q25:Q26"/>
    <mergeCell ref="R25:R26"/>
    <mergeCell ref="S25:S26"/>
    <mergeCell ref="K25:K26"/>
    <mergeCell ref="L25:L26"/>
    <mergeCell ref="M25:M26"/>
    <mergeCell ref="N25:N26"/>
    <mergeCell ref="O25:O26"/>
    <mergeCell ref="D25:D26"/>
    <mergeCell ref="E25:E26"/>
    <mergeCell ref="F25:F26"/>
    <mergeCell ref="G25:G26"/>
    <mergeCell ref="H25:H26"/>
    <mergeCell ref="I25:I26"/>
    <mergeCell ref="AA22:AA24"/>
    <mergeCell ref="O27:O28"/>
    <mergeCell ref="P27:P28"/>
    <mergeCell ref="Q27:Q28"/>
    <mergeCell ref="R27:R28"/>
    <mergeCell ref="AG22:AG24"/>
    <mergeCell ref="AH22:AH24"/>
    <mergeCell ref="X22:X24"/>
    <mergeCell ref="Y22:Y24"/>
    <mergeCell ref="Z22:Z24"/>
    <mergeCell ref="AG25:AG26"/>
    <mergeCell ref="AH25:AH26"/>
    <mergeCell ref="X25:X26"/>
    <mergeCell ref="Y25:Y26"/>
    <mergeCell ref="Z25:Z26"/>
    <mergeCell ref="AA25:AA26"/>
    <mergeCell ref="U22:U24"/>
    <mergeCell ref="V22:V24"/>
    <mergeCell ref="W22:W24"/>
    <mergeCell ref="O22:O24"/>
    <mergeCell ref="P22:P24"/>
    <mergeCell ref="Q22:Q24"/>
    <mergeCell ref="R22:R24"/>
    <mergeCell ref="S22:S24"/>
    <mergeCell ref="T22:T24"/>
    <mergeCell ref="T25:T26"/>
    <mergeCell ref="U25:U26"/>
    <mergeCell ref="J25:J26"/>
    <mergeCell ref="D22:D24"/>
    <mergeCell ref="E22:E24"/>
    <mergeCell ref="F22:F24"/>
    <mergeCell ref="G22:G24"/>
    <mergeCell ref="H22:H24"/>
    <mergeCell ref="I22:I24"/>
    <mergeCell ref="J22:J24"/>
    <mergeCell ref="K22:K24"/>
    <mergeCell ref="AH19:AH21"/>
    <mergeCell ref="X19:X21"/>
    <mergeCell ref="Y19:Y21"/>
    <mergeCell ref="I16:I18"/>
    <mergeCell ref="J16:J18"/>
    <mergeCell ref="AG19:AG21"/>
    <mergeCell ref="Q19:Q21"/>
    <mergeCell ref="R19:R21"/>
    <mergeCell ref="S19:S21"/>
    <mergeCell ref="T19:T21"/>
    <mergeCell ref="U19:U21"/>
    <mergeCell ref="V19:V21"/>
    <mergeCell ref="K19:K21"/>
    <mergeCell ref="L19:L20"/>
    <mergeCell ref="W19:W21"/>
    <mergeCell ref="AA19:AA21"/>
    <mergeCell ref="M19:M20"/>
    <mergeCell ref="N19:N21"/>
    <mergeCell ref="O19:O21"/>
    <mergeCell ref="P19:P21"/>
    <mergeCell ref="Z19:Z21"/>
    <mergeCell ref="U16:U18"/>
    <mergeCell ref="AG16:AG18"/>
    <mergeCell ref="AH16:AH18"/>
    <mergeCell ref="D19:D21"/>
    <mergeCell ref="E19:E21"/>
    <mergeCell ref="F19:F21"/>
    <mergeCell ref="G19:G21"/>
    <mergeCell ref="H19:H21"/>
    <mergeCell ref="I19:I21"/>
    <mergeCell ref="J19:J21"/>
    <mergeCell ref="V16:V18"/>
    <mergeCell ref="W16:W18"/>
    <mergeCell ref="X16:X18"/>
    <mergeCell ref="Y16:Y18"/>
    <mergeCell ref="Z16:Z18"/>
    <mergeCell ref="AA16:AA18"/>
    <mergeCell ref="P16:P18"/>
    <mergeCell ref="Q16:Q18"/>
    <mergeCell ref="R16:R18"/>
    <mergeCell ref="AH13:AH15"/>
    <mergeCell ref="X13:X15"/>
    <mergeCell ref="Y13:Y15"/>
    <mergeCell ref="I13:I15"/>
    <mergeCell ref="J13:J15"/>
    <mergeCell ref="K13:K15"/>
    <mergeCell ref="B16:B26"/>
    <mergeCell ref="D16:D18"/>
    <mergeCell ref="E16:E18"/>
    <mergeCell ref="F16:F18"/>
    <mergeCell ref="G16:G18"/>
    <mergeCell ref="T13:T15"/>
    <mergeCell ref="U13:U15"/>
    <mergeCell ref="V13:V15"/>
    <mergeCell ref="W13:W15"/>
    <mergeCell ref="N13:N15"/>
    <mergeCell ref="O13:O15"/>
    <mergeCell ref="P13:P15"/>
    <mergeCell ref="Q13:Q15"/>
    <mergeCell ref="R13:R15"/>
    <mergeCell ref="S13:S15"/>
    <mergeCell ref="T16:T18"/>
    <mergeCell ref="K16:K18"/>
    <mergeCell ref="N16:N18"/>
    <mergeCell ref="H16:H18"/>
    <mergeCell ref="B13:B15"/>
    <mergeCell ref="D13:D15"/>
    <mergeCell ref="E13:E15"/>
    <mergeCell ref="F13:F15"/>
    <mergeCell ref="G13:G15"/>
    <mergeCell ref="H13:H15"/>
    <mergeCell ref="AB9:AF11"/>
    <mergeCell ref="AG9:AG12"/>
    <mergeCell ref="F12:G12"/>
    <mergeCell ref="H12:I12"/>
    <mergeCell ref="AA13:AA15"/>
    <mergeCell ref="AG13:AG15"/>
    <mergeCell ref="O16:O18"/>
    <mergeCell ref="Z13:Z15"/>
    <mergeCell ref="S16:S18"/>
    <mergeCell ref="AH9:AH12"/>
    <mergeCell ref="O9:T10"/>
    <mergeCell ref="U9:U12"/>
    <mergeCell ref="V9:V12"/>
    <mergeCell ref="W9:W12"/>
    <mergeCell ref="X9:X12"/>
    <mergeCell ref="Y9:Y12"/>
    <mergeCell ref="O11:P11"/>
    <mergeCell ref="Q11:R11"/>
    <mergeCell ref="S11:T12"/>
    <mergeCell ref="B1:C4"/>
    <mergeCell ref="D1:X4"/>
    <mergeCell ref="Y1:AA1"/>
    <mergeCell ref="Y2:AA2"/>
    <mergeCell ref="Z3:AA3"/>
    <mergeCell ref="Z4:AA4"/>
    <mergeCell ref="L9:N9"/>
    <mergeCell ref="F10:K11"/>
    <mergeCell ref="L10:N11"/>
    <mergeCell ref="B6:X6"/>
    <mergeCell ref="B7:E8"/>
    <mergeCell ref="F7:AA7"/>
    <mergeCell ref="F8:N8"/>
    <mergeCell ref="O8:T8"/>
    <mergeCell ref="U8:X8"/>
    <mergeCell ref="Y8:AA8"/>
    <mergeCell ref="Z9:Z12"/>
    <mergeCell ref="AA9:AA12"/>
    <mergeCell ref="J12:K12"/>
    <mergeCell ref="B9:B12"/>
    <mergeCell ref="C9:C12"/>
    <mergeCell ref="D9:D12"/>
    <mergeCell ref="E9:E12"/>
    <mergeCell ref="F9:K9"/>
  </mergeCells>
  <conditionalFormatting sqref="K13">
    <cfRule type="containsText" dxfId="159" priority="158" operator="containsText" text="ALTA">
      <formula>NOT(ISERROR(SEARCH("ALTA",K13)))</formula>
    </cfRule>
    <cfRule type="containsText" dxfId="158" priority="159" operator="containsText" text="MODERADA">
      <formula>NOT(ISERROR(SEARCH("MODERADA",K13)))</formula>
    </cfRule>
    <cfRule type="containsText" dxfId="157" priority="160" operator="containsText" text="EXTREMA">
      <formula>NOT(ISERROR(SEARCH("EXTREMA",K13)))</formula>
    </cfRule>
  </conditionalFormatting>
  <conditionalFormatting sqref="K13">
    <cfRule type="containsText" dxfId="156" priority="157" operator="containsText" text="BAJA">
      <formula>NOT(ISERROR(SEARCH("BAJA",K13)))</formula>
    </cfRule>
  </conditionalFormatting>
  <conditionalFormatting sqref="K16">
    <cfRule type="containsText" dxfId="155" priority="154" operator="containsText" text="ALTA">
      <formula>NOT(ISERROR(SEARCH("ALTA",K16)))</formula>
    </cfRule>
    <cfRule type="containsText" dxfId="154" priority="155" operator="containsText" text="MODERADA">
      <formula>NOT(ISERROR(SEARCH("MODERADA",K16)))</formula>
    </cfRule>
    <cfRule type="containsText" dxfId="153" priority="156" operator="containsText" text="EXTREMA">
      <formula>NOT(ISERROR(SEARCH("EXTREMA",K16)))</formula>
    </cfRule>
  </conditionalFormatting>
  <conditionalFormatting sqref="K16">
    <cfRule type="containsText" dxfId="152" priority="153" operator="containsText" text="BAJA">
      <formula>NOT(ISERROR(SEARCH("BAJA",K16)))</formula>
    </cfRule>
  </conditionalFormatting>
  <conditionalFormatting sqref="K19">
    <cfRule type="containsText" dxfId="151" priority="150" operator="containsText" text="ALTA">
      <formula>NOT(ISERROR(SEARCH("ALTA",K19)))</formula>
    </cfRule>
    <cfRule type="containsText" dxfId="150" priority="151" operator="containsText" text="MODERADA">
      <formula>NOT(ISERROR(SEARCH("MODERADA",K19)))</formula>
    </cfRule>
    <cfRule type="containsText" dxfId="149" priority="152" operator="containsText" text="EXTREMA">
      <formula>NOT(ISERROR(SEARCH("EXTREMA",K19)))</formula>
    </cfRule>
  </conditionalFormatting>
  <conditionalFormatting sqref="K19">
    <cfRule type="containsText" dxfId="148" priority="149" operator="containsText" text="BAJA">
      <formula>NOT(ISERROR(SEARCH("BAJA",K19)))</formula>
    </cfRule>
  </conditionalFormatting>
  <conditionalFormatting sqref="K22">
    <cfRule type="containsText" dxfId="147" priority="146" operator="containsText" text="ALTA">
      <formula>NOT(ISERROR(SEARCH("ALTA",K22)))</formula>
    </cfRule>
    <cfRule type="containsText" dxfId="146" priority="147" operator="containsText" text="MODERADA">
      <formula>NOT(ISERROR(SEARCH("MODERADA",K22)))</formula>
    </cfRule>
    <cfRule type="containsText" dxfId="145" priority="148" operator="containsText" text="EXTREMA">
      <formula>NOT(ISERROR(SEARCH("EXTREMA",K22)))</formula>
    </cfRule>
  </conditionalFormatting>
  <conditionalFormatting sqref="K22">
    <cfRule type="containsText" dxfId="144" priority="145" operator="containsText" text="BAJA">
      <formula>NOT(ISERROR(SEARCH("BAJA",K22)))</formula>
    </cfRule>
  </conditionalFormatting>
  <conditionalFormatting sqref="K25 K27">
    <cfRule type="containsText" dxfId="143" priority="142" operator="containsText" text="ALTA">
      <formula>NOT(ISERROR(SEARCH("ALTA",K25)))</formula>
    </cfRule>
    <cfRule type="containsText" dxfId="142" priority="143" operator="containsText" text="MODERADA">
      <formula>NOT(ISERROR(SEARCH("MODERADA",K25)))</formula>
    </cfRule>
    <cfRule type="containsText" dxfId="141" priority="144" operator="containsText" text="EXTREMA">
      <formula>NOT(ISERROR(SEARCH("EXTREMA",K25)))</formula>
    </cfRule>
  </conditionalFormatting>
  <conditionalFormatting sqref="K25 K27">
    <cfRule type="containsText" dxfId="140" priority="141" operator="containsText" text="BAJA">
      <formula>NOT(ISERROR(SEARCH("BAJA",K25)))</formula>
    </cfRule>
  </conditionalFormatting>
  <conditionalFormatting sqref="K29">
    <cfRule type="containsText" dxfId="139" priority="138" operator="containsText" text="ALTA">
      <formula>NOT(ISERROR(SEARCH("ALTA",K29)))</formula>
    </cfRule>
    <cfRule type="containsText" dxfId="138" priority="139" operator="containsText" text="MODERADA">
      <formula>NOT(ISERROR(SEARCH("MODERADA",K29)))</formula>
    </cfRule>
    <cfRule type="containsText" dxfId="137" priority="140" operator="containsText" text="EXTREMA">
      <formula>NOT(ISERROR(SEARCH("EXTREMA",K29)))</formula>
    </cfRule>
  </conditionalFormatting>
  <conditionalFormatting sqref="K29">
    <cfRule type="containsText" dxfId="136" priority="137" operator="containsText" text="BAJA">
      <formula>NOT(ISERROR(SEARCH("BAJA",K29)))</formula>
    </cfRule>
  </conditionalFormatting>
  <conditionalFormatting sqref="K32">
    <cfRule type="containsText" dxfId="135" priority="134" operator="containsText" text="ALTA">
      <formula>NOT(ISERROR(SEARCH("ALTA",K32)))</formula>
    </cfRule>
    <cfRule type="containsText" dxfId="134" priority="135" operator="containsText" text="MODERADA">
      <formula>NOT(ISERROR(SEARCH("MODERADA",K32)))</formula>
    </cfRule>
    <cfRule type="containsText" dxfId="133" priority="136" operator="containsText" text="EXTREMA">
      <formula>NOT(ISERROR(SEARCH("EXTREMA",K32)))</formula>
    </cfRule>
  </conditionalFormatting>
  <conditionalFormatting sqref="K32">
    <cfRule type="containsText" dxfId="132" priority="133" operator="containsText" text="BAJA">
      <formula>NOT(ISERROR(SEARCH("BAJA",K32)))</formula>
    </cfRule>
  </conditionalFormatting>
  <conditionalFormatting sqref="K37:K38">
    <cfRule type="containsText" dxfId="131" priority="130" operator="containsText" text="ALTA">
      <formula>NOT(ISERROR(SEARCH("ALTA",K37)))</formula>
    </cfRule>
    <cfRule type="containsText" dxfId="130" priority="131" operator="containsText" text="MODERADA">
      <formula>NOT(ISERROR(SEARCH("MODERADA",K37)))</formula>
    </cfRule>
    <cfRule type="containsText" dxfId="129" priority="132" operator="containsText" text="EXTREMA">
      <formula>NOT(ISERROR(SEARCH("EXTREMA",K37)))</formula>
    </cfRule>
  </conditionalFormatting>
  <conditionalFormatting sqref="K37:K38">
    <cfRule type="containsText" dxfId="128" priority="129" operator="containsText" text="BAJA">
      <formula>NOT(ISERROR(SEARCH("BAJA",K37)))</formula>
    </cfRule>
  </conditionalFormatting>
  <conditionalFormatting sqref="K40:K41">
    <cfRule type="containsText" dxfId="127" priority="126" operator="containsText" text="ALTA">
      <formula>NOT(ISERROR(SEARCH("ALTA",K40)))</formula>
    </cfRule>
    <cfRule type="containsText" dxfId="126" priority="127" operator="containsText" text="MODERADA">
      <formula>NOT(ISERROR(SEARCH("MODERADA",K40)))</formula>
    </cfRule>
    <cfRule type="containsText" dxfId="125" priority="128" operator="containsText" text="EXTREMA">
      <formula>NOT(ISERROR(SEARCH("EXTREMA",K40)))</formula>
    </cfRule>
  </conditionalFormatting>
  <conditionalFormatting sqref="K40:K41">
    <cfRule type="containsText" dxfId="124" priority="125" operator="containsText" text="BAJA">
      <formula>NOT(ISERROR(SEARCH("BAJA",K40)))</formula>
    </cfRule>
  </conditionalFormatting>
  <conditionalFormatting sqref="K42">
    <cfRule type="containsText" dxfId="123" priority="122" operator="containsText" text="ALTA">
      <formula>NOT(ISERROR(SEARCH("ALTA",K42)))</formula>
    </cfRule>
    <cfRule type="containsText" dxfId="122" priority="123" operator="containsText" text="MODERADA">
      <formula>NOT(ISERROR(SEARCH("MODERADA",K42)))</formula>
    </cfRule>
    <cfRule type="containsText" dxfId="121" priority="124" operator="containsText" text="EXTREMA">
      <formula>NOT(ISERROR(SEARCH("EXTREMA",K42)))</formula>
    </cfRule>
  </conditionalFormatting>
  <conditionalFormatting sqref="K42">
    <cfRule type="containsText" dxfId="120" priority="121" operator="containsText" text="BAJA">
      <formula>NOT(ISERROR(SEARCH("BAJA",K42)))</formula>
    </cfRule>
  </conditionalFormatting>
  <conditionalFormatting sqref="K44">
    <cfRule type="containsText" dxfId="119" priority="118" operator="containsText" text="ALTA">
      <formula>NOT(ISERROR(SEARCH("ALTA",K44)))</formula>
    </cfRule>
    <cfRule type="containsText" dxfId="118" priority="119" operator="containsText" text="MODERADA">
      <formula>NOT(ISERROR(SEARCH("MODERADA",K44)))</formula>
    </cfRule>
    <cfRule type="containsText" dxfId="117" priority="120" operator="containsText" text="EXTREMA">
      <formula>NOT(ISERROR(SEARCH("EXTREMA",K44)))</formula>
    </cfRule>
  </conditionalFormatting>
  <conditionalFormatting sqref="K44">
    <cfRule type="containsText" dxfId="116" priority="117" operator="containsText" text="BAJA">
      <formula>NOT(ISERROR(SEARCH("BAJA",K44)))</formula>
    </cfRule>
  </conditionalFormatting>
  <conditionalFormatting sqref="K48">
    <cfRule type="containsText" dxfId="115" priority="114" operator="containsText" text="ALTA">
      <formula>NOT(ISERROR(SEARCH("ALTA",K48)))</formula>
    </cfRule>
    <cfRule type="containsText" dxfId="114" priority="115" operator="containsText" text="MODERADA">
      <formula>NOT(ISERROR(SEARCH("MODERADA",K48)))</formula>
    </cfRule>
    <cfRule type="containsText" dxfId="113" priority="116" operator="containsText" text="EXTREMA">
      <formula>NOT(ISERROR(SEARCH("EXTREMA",K48)))</formula>
    </cfRule>
  </conditionalFormatting>
  <conditionalFormatting sqref="K48">
    <cfRule type="containsText" dxfId="112" priority="113" operator="containsText" text="BAJA">
      <formula>NOT(ISERROR(SEARCH("BAJA",K48)))</formula>
    </cfRule>
  </conditionalFormatting>
  <conditionalFormatting sqref="K52">
    <cfRule type="containsText" dxfId="111" priority="110" operator="containsText" text="ALTA">
      <formula>NOT(ISERROR(SEARCH("ALTA",K52)))</formula>
    </cfRule>
    <cfRule type="containsText" dxfId="110" priority="111" operator="containsText" text="MODERADA">
      <formula>NOT(ISERROR(SEARCH("MODERADA",K52)))</formula>
    </cfRule>
    <cfRule type="containsText" dxfId="109" priority="112" operator="containsText" text="EXTREMA">
      <formula>NOT(ISERROR(SEARCH("EXTREMA",K52)))</formula>
    </cfRule>
  </conditionalFormatting>
  <conditionalFormatting sqref="K52">
    <cfRule type="containsText" dxfId="108" priority="109" operator="containsText" text="BAJA">
      <formula>NOT(ISERROR(SEARCH("BAJA",K52)))</formula>
    </cfRule>
  </conditionalFormatting>
  <conditionalFormatting sqref="K55">
    <cfRule type="containsText" dxfId="107" priority="106" operator="containsText" text="ALTA">
      <formula>NOT(ISERROR(SEARCH("ALTA",K55)))</formula>
    </cfRule>
    <cfRule type="containsText" dxfId="106" priority="107" operator="containsText" text="MODERADA">
      <formula>NOT(ISERROR(SEARCH("MODERADA",K55)))</formula>
    </cfRule>
    <cfRule type="containsText" dxfId="105" priority="108" operator="containsText" text="EXTREMA">
      <formula>NOT(ISERROR(SEARCH("EXTREMA",K55)))</formula>
    </cfRule>
  </conditionalFormatting>
  <conditionalFormatting sqref="K55">
    <cfRule type="containsText" dxfId="104" priority="105" operator="containsText" text="BAJA">
      <formula>NOT(ISERROR(SEARCH("BAJA",K55)))</formula>
    </cfRule>
  </conditionalFormatting>
  <conditionalFormatting sqref="T61">
    <cfRule type="containsText" dxfId="103" priority="30" operator="containsText" text="ALTA">
      <formula>NOT(ISERROR(SEARCH("ALTA",T61)))</formula>
    </cfRule>
    <cfRule type="containsText" dxfId="102" priority="31" operator="containsText" text="MODERADA">
      <formula>NOT(ISERROR(SEARCH("MODERADA",T61)))</formula>
    </cfRule>
    <cfRule type="containsText" dxfId="101" priority="32" operator="containsText" text="EXTREMA">
      <formula>NOT(ISERROR(SEARCH("EXTREMA",T61)))</formula>
    </cfRule>
  </conditionalFormatting>
  <conditionalFormatting sqref="T61">
    <cfRule type="containsText" dxfId="100" priority="29" operator="containsText" text="BAJA">
      <formula>NOT(ISERROR(SEARCH("BAJA",T61)))</formula>
    </cfRule>
  </conditionalFormatting>
  <conditionalFormatting sqref="T66">
    <cfRule type="containsText" dxfId="99" priority="26" operator="containsText" text="ALTA">
      <formula>NOT(ISERROR(SEARCH("ALTA",T66)))</formula>
    </cfRule>
    <cfRule type="containsText" dxfId="98" priority="27" operator="containsText" text="MODERADA">
      <formula>NOT(ISERROR(SEARCH("MODERADA",T66)))</formula>
    </cfRule>
    <cfRule type="containsText" dxfId="97" priority="28" operator="containsText" text="EXTREMA">
      <formula>NOT(ISERROR(SEARCH("EXTREMA",T66)))</formula>
    </cfRule>
  </conditionalFormatting>
  <conditionalFormatting sqref="T66">
    <cfRule type="containsText" dxfId="96" priority="25" operator="containsText" text="BAJA">
      <formula>NOT(ISERROR(SEARCH("BAJA",T66)))</formula>
    </cfRule>
  </conditionalFormatting>
  <conditionalFormatting sqref="K63">
    <cfRule type="containsText" dxfId="95" priority="102" operator="containsText" text="ALTA">
      <formula>NOT(ISERROR(SEARCH("ALTA",K63)))</formula>
    </cfRule>
    <cfRule type="containsText" dxfId="94" priority="103" operator="containsText" text="MODERADA">
      <formula>NOT(ISERROR(SEARCH("MODERADA",K63)))</formula>
    </cfRule>
    <cfRule type="containsText" dxfId="93" priority="104" operator="containsText" text="EXTREMA">
      <formula>NOT(ISERROR(SEARCH("EXTREMA",K63)))</formula>
    </cfRule>
  </conditionalFormatting>
  <conditionalFormatting sqref="K63">
    <cfRule type="containsText" dxfId="92" priority="101" operator="containsText" text="BAJA">
      <formula>NOT(ISERROR(SEARCH("BAJA",K63)))</formula>
    </cfRule>
  </conditionalFormatting>
  <conditionalFormatting sqref="K61">
    <cfRule type="containsText" dxfId="91" priority="98" operator="containsText" text="ALTA">
      <formula>NOT(ISERROR(SEARCH("ALTA",K61)))</formula>
    </cfRule>
    <cfRule type="containsText" dxfId="90" priority="99" operator="containsText" text="MODERADA">
      <formula>NOT(ISERROR(SEARCH("MODERADA",K61)))</formula>
    </cfRule>
    <cfRule type="containsText" dxfId="89" priority="100" operator="containsText" text="EXTREMA">
      <formula>NOT(ISERROR(SEARCH("EXTREMA",K61)))</formula>
    </cfRule>
  </conditionalFormatting>
  <conditionalFormatting sqref="K61">
    <cfRule type="containsText" dxfId="88" priority="97" operator="containsText" text="BAJA">
      <formula>NOT(ISERROR(SEARCH("BAJA",K61)))</formula>
    </cfRule>
  </conditionalFormatting>
  <conditionalFormatting sqref="K66">
    <cfRule type="containsText" dxfId="87" priority="94" operator="containsText" text="ALTA">
      <formula>NOT(ISERROR(SEARCH("ALTA",K66)))</formula>
    </cfRule>
    <cfRule type="containsText" dxfId="86" priority="95" operator="containsText" text="MODERADA">
      <formula>NOT(ISERROR(SEARCH("MODERADA",K66)))</formula>
    </cfRule>
    <cfRule type="containsText" dxfId="85" priority="96" operator="containsText" text="EXTREMA">
      <formula>NOT(ISERROR(SEARCH("EXTREMA",K66)))</formula>
    </cfRule>
  </conditionalFormatting>
  <conditionalFormatting sqref="K66">
    <cfRule type="containsText" dxfId="84" priority="93" operator="containsText" text="BAJA">
      <formula>NOT(ISERROR(SEARCH("BAJA",K66)))</formula>
    </cfRule>
  </conditionalFormatting>
  <conditionalFormatting sqref="K70">
    <cfRule type="containsText" dxfId="83" priority="90" operator="containsText" text="ALTA">
      <formula>NOT(ISERROR(SEARCH("ALTA",K70)))</formula>
    </cfRule>
    <cfRule type="containsText" dxfId="82" priority="91" operator="containsText" text="MODERADA">
      <formula>NOT(ISERROR(SEARCH("MODERADA",K70)))</formula>
    </cfRule>
    <cfRule type="containsText" dxfId="81" priority="92" operator="containsText" text="EXTREMA">
      <formula>NOT(ISERROR(SEARCH("EXTREMA",K70)))</formula>
    </cfRule>
  </conditionalFormatting>
  <conditionalFormatting sqref="K70">
    <cfRule type="containsText" dxfId="80" priority="89" operator="containsText" text="BAJA">
      <formula>NOT(ISERROR(SEARCH("BAJA",K70)))</formula>
    </cfRule>
  </conditionalFormatting>
  <conditionalFormatting sqref="T13">
    <cfRule type="containsText" dxfId="79" priority="86" operator="containsText" text="ALTA">
      <formula>NOT(ISERROR(SEARCH("ALTA",T13)))</formula>
    </cfRule>
    <cfRule type="containsText" dxfId="78" priority="87" operator="containsText" text="MODERADA">
      <formula>NOT(ISERROR(SEARCH("MODERADA",T13)))</formula>
    </cfRule>
    <cfRule type="containsText" dxfId="77" priority="88" operator="containsText" text="EXTREMA">
      <formula>NOT(ISERROR(SEARCH("EXTREMA",T13)))</formula>
    </cfRule>
  </conditionalFormatting>
  <conditionalFormatting sqref="T13">
    <cfRule type="containsText" dxfId="76" priority="85" operator="containsText" text="BAJA">
      <formula>NOT(ISERROR(SEARCH("BAJA",T13)))</formula>
    </cfRule>
  </conditionalFormatting>
  <conditionalFormatting sqref="T16">
    <cfRule type="containsText" dxfId="75" priority="82" operator="containsText" text="ALTA">
      <formula>NOT(ISERROR(SEARCH("ALTA",T16)))</formula>
    </cfRule>
    <cfRule type="containsText" dxfId="74" priority="83" operator="containsText" text="MODERADA">
      <formula>NOT(ISERROR(SEARCH("MODERADA",T16)))</formula>
    </cfRule>
    <cfRule type="containsText" dxfId="73" priority="84" operator="containsText" text="EXTREMA">
      <formula>NOT(ISERROR(SEARCH("EXTREMA",T16)))</formula>
    </cfRule>
  </conditionalFormatting>
  <conditionalFormatting sqref="T16">
    <cfRule type="containsText" dxfId="72" priority="81" operator="containsText" text="BAJA">
      <formula>NOT(ISERROR(SEARCH("BAJA",T16)))</formula>
    </cfRule>
  </conditionalFormatting>
  <conditionalFormatting sqref="T19">
    <cfRule type="containsText" dxfId="71" priority="78" operator="containsText" text="ALTA">
      <formula>NOT(ISERROR(SEARCH("ALTA",T19)))</formula>
    </cfRule>
    <cfRule type="containsText" dxfId="70" priority="79" operator="containsText" text="MODERADA">
      <formula>NOT(ISERROR(SEARCH("MODERADA",T19)))</formula>
    </cfRule>
    <cfRule type="containsText" dxfId="69" priority="80" operator="containsText" text="EXTREMA">
      <formula>NOT(ISERROR(SEARCH("EXTREMA",T19)))</formula>
    </cfRule>
  </conditionalFormatting>
  <conditionalFormatting sqref="T19">
    <cfRule type="containsText" dxfId="68" priority="77" operator="containsText" text="BAJA">
      <formula>NOT(ISERROR(SEARCH("BAJA",T19)))</formula>
    </cfRule>
  </conditionalFormatting>
  <conditionalFormatting sqref="T22">
    <cfRule type="containsText" dxfId="67" priority="74" operator="containsText" text="ALTA">
      <formula>NOT(ISERROR(SEARCH("ALTA",T22)))</formula>
    </cfRule>
    <cfRule type="containsText" dxfId="66" priority="75" operator="containsText" text="MODERADA">
      <formula>NOT(ISERROR(SEARCH("MODERADA",T22)))</formula>
    </cfRule>
    <cfRule type="containsText" dxfId="65" priority="76" operator="containsText" text="EXTREMA">
      <formula>NOT(ISERROR(SEARCH("EXTREMA",T22)))</formula>
    </cfRule>
  </conditionalFormatting>
  <conditionalFormatting sqref="T22">
    <cfRule type="containsText" dxfId="64" priority="73" operator="containsText" text="BAJA">
      <formula>NOT(ISERROR(SEARCH("BAJA",T22)))</formula>
    </cfRule>
  </conditionalFormatting>
  <conditionalFormatting sqref="T25 T27">
    <cfRule type="containsText" dxfId="63" priority="70" operator="containsText" text="ALTA">
      <formula>NOT(ISERROR(SEARCH("ALTA",T25)))</formula>
    </cfRule>
    <cfRule type="containsText" dxfId="62" priority="71" operator="containsText" text="MODERADA">
      <formula>NOT(ISERROR(SEARCH("MODERADA",T25)))</formula>
    </cfRule>
    <cfRule type="containsText" dxfId="61" priority="72" operator="containsText" text="EXTREMA">
      <formula>NOT(ISERROR(SEARCH("EXTREMA",T25)))</formula>
    </cfRule>
  </conditionalFormatting>
  <conditionalFormatting sqref="T25 T27">
    <cfRule type="containsText" dxfId="60" priority="69" operator="containsText" text="BAJA">
      <formula>NOT(ISERROR(SEARCH("BAJA",T25)))</formula>
    </cfRule>
  </conditionalFormatting>
  <conditionalFormatting sqref="T29">
    <cfRule type="containsText" dxfId="59" priority="66" operator="containsText" text="ALTA">
      <formula>NOT(ISERROR(SEARCH("ALTA",T29)))</formula>
    </cfRule>
    <cfRule type="containsText" dxfId="58" priority="67" operator="containsText" text="MODERADA">
      <formula>NOT(ISERROR(SEARCH("MODERADA",T29)))</formula>
    </cfRule>
    <cfRule type="containsText" dxfId="57" priority="68" operator="containsText" text="EXTREMA">
      <formula>NOT(ISERROR(SEARCH("EXTREMA",T29)))</formula>
    </cfRule>
  </conditionalFormatting>
  <conditionalFormatting sqref="T29">
    <cfRule type="containsText" dxfId="56" priority="65" operator="containsText" text="BAJA">
      <formula>NOT(ISERROR(SEARCH("BAJA",T29)))</formula>
    </cfRule>
  </conditionalFormatting>
  <conditionalFormatting sqref="T32">
    <cfRule type="containsText" dxfId="55" priority="62" operator="containsText" text="ALTA">
      <formula>NOT(ISERROR(SEARCH("ALTA",T32)))</formula>
    </cfRule>
    <cfRule type="containsText" dxfId="54" priority="63" operator="containsText" text="MODERADA">
      <formula>NOT(ISERROR(SEARCH("MODERADA",T32)))</formula>
    </cfRule>
    <cfRule type="containsText" dxfId="53" priority="64" operator="containsText" text="EXTREMA">
      <formula>NOT(ISERROR(SEARCH("EXTREMA",T32)))</formula>
    </cfRule>
  </conditionalFormatting>
  <conditionalFormatting sqref="T32">
    <cfRule type="containsText" dxfId="52" priority="61" operator="containsText" text="BAJA">
      <formula>NOT(ISERROR(SEARCH("BAJA",T32)))</formula>
    </cfRule>
  </conditionalFormatting>
  <conditionalFormatting sqref="T37:T38">
    <cfRule type="containsText" dxfId="51" priority="58" operator="containsText" text="ALTA">
      <formula>NOT(ISERROR(SEARCH("ALTA",T37)))</formula>
    </cfRule>
    <cfRule type="containsText" dxfId="50" priority="59" operator="containsText" text="MODERADA">
      <formula>NOT(ISERROR(SEARCH("MODERADA",T37)))</formula>
    </cfRule>
    <cfRule type="containsText" dxfId="49" priority="60" operator="containsText" text="EXTREMA">
      <formula>NOT(ISERROR(SEARCH("EXTREMA",T37)))</formula>
    </cfRule>
  </conditionalFormatting>
  <conditionalFormatting sqref="T37:T38">
    <cfRule type="containsText" dxfId="48" priority="57" operator="containsText" text="BAJA">
      <formula>NOT(ISERROR(SEARCH("BAJA",T37)))</formula>
    </cfRule>
  </conditionalFormatting>
  <conditionalFormatting sqref="T40:T41">
    <cfRule type="containsText" dxfId="47" priority="54" operator="containsText" text="ALTA">
      <formula>NOT(ISERROR(SEARCH("ALTA",T40)))</formula>
    </cfRule>
    <cfRule type="containsText" dxfId="46" priority="55" operator="containsText" text="MODERADA">
      <formula>NOT(ISERROR(SEARCH("MODERADA",T40)))</formula>
    </cfRule>
    <cfRule type="containsText" dxfId="45" priority="56" operator="containsText" text="EXTREMA">
      <formula>NOT(ISERROR(SEARCH("EXTREMA",T40)))</formula>
    </cfRule>
  </conditionalFormatting>
  <conditionalFormatting sqref="T40:T41">
    <cfRule type="containsText" dxfId="44" priority="53" operator="containsText" text="BAJA">
      <formula>NOT(ISERROR(SEARCH("BAJA",T40)))</formula>
    </cfRule>
  </conditionalFormatting>
  <conditionalFormatting sqref="T42">
    <cfRule type="containsText" dxfId="43" priority="50" operator="containsText" text="ALTA">
      <formula>NOT(ISERROR(SEARCH("ALTA",T42)))</formula>
    </cfRule>
    <cfRule type="containsText" dxfId="42" priority="51" operator="containsText" text="MODERADA">
      <formula>NOT(ISERROR(SEARCH("MODERADA",T42)))</formula>
    </cfRule>
    <cfRule type="containsText" dxfId="41" priority="52" operator="containsText" text="EXTREMA">
      <formula>NOT(ISERROR(SEARCH("EXTREMA",T42)))</formula>
    </cfRule>
  </conditionalFormatting>
  <conditionalFormatting sqref="T42">
    <cfRule type="containsText" dxfId="40" priority="49" operator="containsText" text="BAJA">
      <formula>NOT(ISERROR(SEARCH("BAJA",T42)))</formula>
    </cfRule>
  </conditionalFormatting>
  <conditionalFormatting sqref="T44">
    <cfRule type="containsText" dxfId="39" priority="46" operator="containsText" text="ALTA">
      <formula>NOT(ISERROR(SEARCH("ALTA",T44)))</formula>
    </cfRule>
    <cfRule type="containsText" dxfId="38" priority="47" operator="containsText" text="MODERADA">
      <formula>NOT(ISERROR(SEARCH("MODERADA",T44)))</formula>
    </cfRule>
    <cfRule type="containsText" dxfId="37" priority="48" operator="containsText" text="EXTREMA">
      <formula>NOT(ISERROR(SEARCH("EXTREMA",T44)))</formula>
    </cfRule>
  </conditionalFormatting>
  <conditionalFormatting sqref="T44">
    <cfRule type="containsText" dxfId="36" priority="45" operator="containsText" text="BAJA">
      <formula>NOT(ISERROR(SEARCH("BAJA",T44)))</formula>
    </cfRule>
  </conditionalFormatting>
  <conditionalFormatting sqref="T48">
    <cfRule type="containsText" dxfId="35" priority="42" operator="containsText" text="ALTA">
      <formula>NOT(ISERROR(SEARCH("ALTA",T48)))</formula>
    </cfRule>
    <cfRule type="containsText" dxfId="34" priority="43" operator="containsText" text="MODERADA">
      <formula>NOT(ISERROR(SEARCH("MODERADA",T48)))</formula>
    </cfRule>
    <cfRule type="containsText" dxfId="33" priority="44" operator="containsText" text="EXTREMA">
      <formula>NOT(ISERROR(SEARCH("EXTREMA",T48)))</formula>
    </cfRule>
  </conditionalFormatting>
  <conditionalFormatting sqref="T48">
    <cfRule type="containsText" dxfId="32" priority="41" operator="containsText" text="BAJA">
      <formula>NOT(ISERROR(SEARCH("BAJA",T48)))</formula>
    </cfRule>
  </conditionalFormatting>
  <conditionalFormatting sqref="T52">
    <cfRule type="containsText" dxfId="31" priority="38" operator="containsText" text="ALTA">
      <formula>NOT(ISERROR(SEARCH("ALTA",T52)))</formula>
    </cfRule>
    <cfRule type="containsText" dxfId="30" priority="39" operator="containsText" text="MODERADA">
      <formula>NOT(ISERROR(SEARCH("MODERADA",T52)))</formula>
    </cfRule>
    <cfRule type="containsText" dxfId="29" priority="40" operator="containsText" text="EXTREMA">
      <formula>NOT(ISERROR(SEARCH("EXTREMA",T52)))</formula>
    </cfRule>
  </conditionalFormatting>
  <conditionalFormatting sqref="T52">
    <cfRule type="containsText" dxfId="28" priority="37" operator="containsText" text="BAJA">
      <formula>NOT(ISERROR(SEARCH("BAJA",T52)))</formula>
    </cfRule>
  </conditionalFormatting>
  <conditionalFormatting sqref="T55">
    <cfRule type="containsText" dxfId="27" priority="34" operator="containsText" text="ALTA">
      <formula>NOT(ISERROR(SEARCH("ALTA",T55)))</formula>
    </cfRule>
    <cfRule type="containsText" dxfId="26" priority="35" operator="containsText" text="MODERADA">
      <formula>NOT(ISERROR(SEARCH("MODERADA",T55)))</formula>
    </cfRule>
    <cfRule type="containsText" dxfId="25" priority="36" operator="containsText" text="EXTREMA">
      <formula>NOT(ISERROR(SEARCH("EXTREMA",T55)))</formula>
    </cfRule>
  </conditionalFormatting>
  <conditionalFormatting sqref="T55">
    <cfRule type="containsText" dxfId="24" priority="33" operator="containsText" text="BAJA">
      <formula>NOT(ISERROR(SEARCH("BAJA",T55)))</formula>
    </cfRule>
  </conditionalFormatting>
  <conditionalFormatting sqref="T70">
    <cfRule type="containsText" dxfId="23" priority="22" operator="containsText" text="ALTA">
      <formula>NOT(ISERROR(SEARCH("ALTA",T70)))</formula>
    </cfRule>
    <cfRule type="containsText" dxfId="22" priority="23" operator="containsText" text="MODERADA">
      <formula>NOT(ISERROR(SEARCH("MODERADA",T70)))</formula>
    </cfRule>
    <cfRule type="containsText" dxfId="21" priority="24" operator="containsText" text="EXTREMA">
      <formula>NOT(ISERROR(SEARCH("EXTREMA",T70)))</formula>
    </cfRule>
  </conditionalFormatting>
  <conditionalFormatting sqref="T70">
    <cfRule type="containsText" dxfId="20" priority="21" operator="containsText" text="BAJA">
      <formula>NOT(ISERROR(SEARCH("BAJA",T70)))</formula>
    </cfRule>
  </conditionalFormatting>
  <conditionalFormatting sqref="T63">
    <cfRule type="containsText" dxfId="19" priority="18" operator="containsText" text="ALTA">
      <formula>NOT(ISERROR(SEARCH("ALTA",T63)))</formula>
    </cfRule>
    <cfRule type="containsText" dxfId="18" priority="19" operator="containsText" text="MODERADA">
      <formula>NOT(ISERROR(SEARCH("MODERADA",T63)))</formula>
    </cfRule>
    <cfRule type="containsText" dxfId="17" priority="20" operator="containsText" text="EXTREMA">
      <formula>NOT(ISERROR(SEARCH("EXTREMA",T63)))</formula>
    </cfRule>
  </conditionalFormatting>
  <conditionalFormatting sqref="T63">
    <cfRule type="containsText" dxfId="16" priority="17" operator="containsText" text="BAJA">
      <formula>NOT(ISERROR(SEARCH("BAJA",T63)))</formula>
    </cfRule>
  </conditionalFormatting>
  <conditionalFormatting sqref="K58:K60">
    <cfRule type="containsText" dxfId="15" priority="14" operator="containsText" text="ALTA">
      <formula>NOT(ISERROR(SEARCH("ALTA",K58)))</formula>
    </cfRule>
    <cfRule type="containsText" dxfId="14" priority="15" operator="containsText" text="MODERADA">
      <formula>NOT(ISERROR(SEARCH("MODERADA",K58)))</formula>
    </cfRule>
    <cfRule type="containsText" dxfId="13" priority="16" operator="containsText" text="EXTREMA">
      <formula>NOT(ISERROR(SEARCH("EXTREMA",K58)))</formula>
    </cfRule>
  </conditionalFormatting>
  <conditionalFormatting sqref="K58:K60">
    <cfRule type="containsText" dxfId="12" priority="13" operator="containsText" text="BAJA">
      <formula>NOT(ISERROR(SEARCH("BAJA",K58)))</formula>
    </cfRule>
  </conditionalFormatting>
  <conditionalFormatting sqref="T58">
    <cfRule type="containsText" dxfId="11" priority="10" operator="containsText" text="ALTA">
      <formula>NOT(ISERROR(SEARCH("ALTA",T58)))</formula>
    </cfRule>
    <cfRule type="containsText" dxfId="10" priority="11" operator="containsText" text="MODERADA">
      <formula>NOT(ISERROR(SEARCH("MODERADA",T58)))</formula>
    </cfRule>
    <cfRule type="containsText" dxfId="9" priority="12" operator="containsText" text="EXTREMA">
      <formula>NOT(ISERROR(SEARCH("EXTREMA",T58)))</formula>
    </cfRule>
  </conditionalFormatting>
  <conditionalFormatting sqref="T58">
    <cfRule type="containsText" dxfId="8" priority="9" operator="containsText" text="BAJA">
      <formula>NOT(ISERROR(SEARCH("BAJA",T58)))</formula>
    </cfRule>
  </conditionalFormatting>
  <conditionalFormatting sqref="K35">
    <cfRule type="containsText" dxfId="7" priority="6" operator="containsText" text="ALTA">
      <formula>NOT(ISERROR(SEARCH("ALTA",K35)))</formula>
    </cfRule>
    <cfRule type="containsText" dxfId="6" priority="7" operator="containsText" text="MODERADA">
      <formula>NOT(ISERROR(SEARCH("MODERADA",K35)))</formula>
    </cfRule>
    <cfRule type="containsText" dxfId="5" priority="8" operator="containsText" text="EXTREMA">
      <formula>NOT(ISERROR(SEARCH("EXTREMA",K35)))</formula>
    </cfRule>
  </conditionalFormatting>
  <conditionalFormatting sqref="K35">
    <cfRule type="containsText" dxfId="4" priority="5" operator="containsText" text="BAJA">
      <formula>NOT(ISERROR(SEARCH("BAJA",K35)))</formula>
    </cfRule>
  </conditionalFormatting>
  <conditionalFormatting sqref="T35">
    <cfRule type="containsText" dxfId="3" priority="2" operator="containsText" text="ALTA">
      <formula>NOT(ISERROR(SEARCH("ALTA",T35)))</formula>
    </cfRule>
    <cfRule type="containsText" dxfId="2" priority="3" operator="containsText" text="MODERADA">
      <formula>NOT(ISERROR(SEARCH("MODERADA",T35)))</formula>
    </cfRule>
    <cfRule type="containsText" dxfId="1" priority="4" operator="containsText" text="EXTREMA">
      <formula>NOT(ISERROR(SEARCH("EXTREMA",T35)))</formula>
    </cfRule>
  </conditionalFormatting>
  <conditionalFormatting sqref="T35">
    <cfRule type="containsText" dxfId="0" priority="1" operator="containsText" text="BAJA">
      <formula>NOT(ISERROR(SEARCH("BAJA",T35)))</formula>
    </cfRule>
  </conditionalFormatting>
  <pageMargins left="0.7" right="0.7" top="0.75" bottom="0.75" header="0.3" footer="0.3"/>
  <pageSetup scale="12"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Z98"/>
  <sheetViews>
    <sheetView showGridLines="0" tabSelected="1" view="pageBreakPreview" zoomScale="80" zoomScaleNormal="80" zoomScaleSheetLayoutView="80" workbookViewId="0">
      <selection sqref="A1:A4"/>
    </sheetView>
  </sheetViews>
  <sheetFormatPr baseColWidth="10" defaultColWidth="11.42578125" defaultRowHeight="12.75" outlineLevelRow="1" outlineLevelCol="1" x14ac:dyDescent="0.25"/>
  <cols>
    <col min="1" max="1" width="23.7109375" style="187" customWidth="1"/>
    <col min="2" max="2" width="20.28515625" style="187" customWidth="1"/>
    <col min="3" max="3" width="14.140625" style="187" customWidth="1"/>
    <col min="4" max="4" width="33.7109375" style="186" customWidth="1"/>
    <col min="5" max="5" width="19.85546875" style="187" customWidth="1"/>
    <col min="6" max="6" width="12.7109375" style="188" customWidth="1"/>
    <col min="7" max="7" width="5.140625" style="187" customWidth="1"/>
    <col min="8" max="8" width="4.7109375" style="187" customWidth="1"/>
    <col min="9" max="9" width="5.28515625" style="187" customWidth="1"/>
    <col min="10" max="10" width="6.28515625" style="187" customWidth="1"/>
    <col min="11" max="11" width="24" style="211" customWidth="1"/>
    <col min="12" max="12" width="21.140625" style="211" customWidth="1"/>
    <col min="13" max="14" width="16.7109375" style="93" customWidth="1" outlineLevel="1"/>
    <col min="15" max="21" width="16.28515625" style="93" customWidth="1" outlineLevel="1"/>
    <col min="22" max="22" width="16.28515625" style="93" customWidth="1"/>
    <col min="23" max="23" width="17.42578125" style="63" customWidth="1"/>
    <col min="24" max="24" width="16" style="63" customWidth="1"/>
    <col min="25" max="25" width="58.7109375" style="63" customWidth="1"/>
    <col min="26" max="16384" width="11.42578125" style="63"/>
  </cols>
  <sheetData>
    <row r="1" spans="1:52" s="2" customFormat="1" ht="25.5" customHeight="1" outlineLevel="1" x14ac:dyDescent="0.25">
      <c r="A1" s="507"/>
      <c r="B1" s="509" t="s">
        <v>0</v>
      </c>
      <c r="C1" s="510"/>
      <c r="D1" s="510"/>
      <c r="E1" s="510"/>
      <c r="F1" s="510"/>
      <c r="G1" s="510"/>
      <c r="H1" s="510"/>
      <c r="I1" s="510"/>
      <c r="J1" s="510"/>
      <c r="K1" s="515" t="s">
        <v>1</v>
      </c>
      <c r="L1" s="516"/>
      <c r="M1" s="1"/>
      <c r="N1" s="1"/>
      <c r="O1" s="1"/>
      <c r="P1" s="1"/>
      <c r="Q1" s="1"/>
      <c r="R1" s="1"/>
      <c r="S1" s="1"/>
      <c r="T1" s="1"/>
      <c r="U1" s="1"/>
      <c r="V1" s="1"/>
    </row>
    <row r="2" spans="1:52" s="2" customFormat="1" ht="12.75" customHeight="1" outlineLevel="1" x14ac:dyDescent="0.25">
      <c r="A2" s="508"/>
      <c r="B2" s="511"/>
      <c r="C2" s="512"/>
      <c r="D2" s="512"/>
      <c r="E2" s="512"/>
      <c r="F2" s="512"/>
      <c r="G2" s="512"/>
      <c r="H2" s="512"/>
      <c r="I2" s="512"/>
      <c r="J2" s="512"/>
      <c r="K2" s="517"/>
      <c r="L2" s="518"/>
      <c r="M2" s="1"/>
      <c r="N2" s="1"/>
      <c r="O2" s="1"/>
      <c r="P2" s="1"/>
      <c r="Q2" s="1"/>
      <c r="R2" s="1"/>
      <c r="S2" s="1"/>
      <c r="T2" s="1"/>
      <c r="U2" s="1"/>
      <c r="V2" s="1"/>
    </row>
    <row r="3" spans="1:52" s="2" customFormat="1" ht="18.75" customHeight="1" outlineLevel="1" x14ac:dyDescent="0.25">
      <c r="A3" s="508"/>
      <c r="B3" s="511"/>
      <c r="C3" s="512"/>
      <c r="D3" s="512"/>
      <c r="E3" s="512"/>
      <c r="F3" s="512"/>
      <c r="G3" s="512"/>
      <c r="H3" s="512"/>
      <c r="I3" s="512"/>
      <c r="J3" s="512"/>
      <c r="K3" s="519" t="s">
        <v>2</v>
      </c>
      <c r="L3" s="520"/>
      <c r="M3" s="1"/>
      <c r="N3" s="1"/>
      <c r="O3" s="1"/>
      <c r="P3" s="1"/>
      <c r="Q3" s="1"/>
      <c r="R3" s="1"/>
      <c r="S3" s="1"/>
      <c r="T3" s="1"/>
      <c r="U3" s="1"/>
      <c r="V3" s="1"/>
    </row>
    <row r="4" spans="1:52" s="2" customFormat="1" ht="17.25" customHeight="1" outlineLevel="1" x14ac:dyDescent="0.25">
      <c r="A4" s="508"/>
      <c r="B4" s="511"/>
      <c r="C4" s="512"/>
      <c r="D4" s="512"/>
      <c r="E4" s="512"/>
      <c r="F4" s="512"/>
      <c r="G4" s="512"/>
      <c r="H4" s="512"/>
      <c r="I4" s="512"/>
      <c r="J4" s="512"/>
      <c r="K4" s="3" t="s">
        <v>3</v>
      </c>
      <c r="L4" s="4" t="s">
        <v>4</v>
      </c>
      <c r="M4" s="1"/>
      <c r="N4" s="1"/>
      <c r="O4" s="1"/>
      <c r="P4" s="1"/>
      <c r="Q4" s="1"/>
      <c r="R4" s="1"/>
      <c r="S4" s="1"/>
      <c r="T4" s="1"/>
      <c r="U4" s="1"/>
      <c r="V4" s="1"/>
    </row>
    <row r="5" spans="1:52" s="2" customFormat="1" ht="15.75" customHeight="1" outlineLevel="1" x14ac:dyDescent="0.25">
      <c r="A5" s="5" t="s">
        <v>5</v>
      </c>
      <c r="B5" s="513"/>
      <c r="C5" s="514"/>
      <c r="D5" s="514"/>
      <c r="E5" s="514"/>
      <c r="F5" s="514"/>
      <c r="G5" s="514"/>
      <c r="H5" s="514"/>
      <c r="I5" s="514"/>
      <c r="J5" s="514"/>
      <c r="K5" s="3">
        <v>6</v>
      </c>
      <c r="L5" s="4" t="s">
        <v>6</v>
      </c>
      <c r="M5" s="1"/>
      <c r="N5" s="1"/>
      <c r="O5" s="1"/>
      <c r="P5" s="1"/>
      <c r="Q5" s="1"/>
      <c r="R5" s="1"/>
      <c r="S5" s="1"/>
      <c r="T5" s="1"/>
      <c r="U5" s="1"/>
      <c r="V5" s="1"/>
    </row>
    <row r="6" spans="1:52" s="2" customFormat="1" ht="22.5" customHeight="1" outlineLevel="1" x14ac:dyDescent="0.25">
      <c r="A6" s="521" t="s">
        <v>7</v>
      </c>
      <c r="B6" s="522"/>
      <c r="C6" s="523" t="s">
        <v>8</v>
      </c>
      <c r="D6" s="523"/>
      <c r="E6" s="523"/>
      <c r="F6" s="523"/>
      <c r="G6" s="523"/>
      <c r="H6" s="523"/>
      <c r="I6" s="523"/>
      <c r="J6" s="523"/>
      <c r="K6" s="523"/>
      <c r="L6" s="524"/>
      <c r="M6" s="1"/>
      <c r="N6" s="1"/>
      <c r="O6" s="1"/>
      <c r="P6" s="1"/>
      <c r="Q6" s="1"/>
      <c r="R6" s="1"/>
      <c r="S6" s="1"/>
      <c r="T6" s="1"/>
      <c r="U6" s="1"/>
      <c r="V6" s="1"/>
    </row>
    <row r="7" spans="1:52" s="2" customFormat="1" ht="19.5" customHeight="1" outlineLevel="1" thickBot="1" x14ac:dyDescent="0.3">
      <c r="A7" s="533" t="s">
        <v>9</v>
      </c>
      <c r="B7" s="534"/>
      <c r="C7" s="535" t="s">
        <v>10</v>
      </c>
      <c r="D7" s="535"/>
      <c r="E7" s="535"/>
      <c r="F7" s="535"/>
      <c r="G7" s="535"/>
      <c r="H7" s="535"/>
      <c r="I7" s="535"/>
      <c r="J7" s="535"/>
      <c r="K7" s="535"/>
      <c r="L7" s="536"/>
      <c r="M7" s="1"/>
      <c r="N7" s="1"/>
      <c r="O7" s="1"/>
      <c r="P7" s="1"/>
      <c r="Q7" s="1"/>
      <c r="R7" s="1"/>
      <c r="S7" s="1"/>
      <c r="T7" s="1"/>
      <c r="U7" s="1"/>
      <c r="V7" s="1"/>
    </row>
    <row r="8" spans="1:52" s="7" customFormat="1" outlineLevel="1" x14ac:dyDescent="0.25">
      <c r="A8" s="537"/>
      <c r="B8" s="538"/>
      <c r="C8" s="538"/>
      <c r="D8" s="538"/>
      <c r="E8" s="538"/>
      <c r="F8" s="538"/>
      <c r="G8" s="538"/>
      <c r="H8" s="538"/>
      <c r="I8" s="538"/>
      <c r="J8" s="538"/>
      <c r="K8" s="538"/>
      <c r="L8" s="538"/>
      <c r="M8" s="6"/>
      <c r="N8" s="6"/>
      <c r="O8" s="6"/>
      <c r="P8" s="6"/>
      <c r="Q8" s="6"/>
      <c r="R8" s="6"/>
      <c r="S8" s="6"/>
      <c r="T8" s="6"/>
      <c r="U8" s="6"/>
      <c r="V8" s="6"/>
    </row>
    <row r="9" spans="1:52" s="7" customFormat="1" ht="18.75" customHeight="1" x14ac:dyDescent="0.25">
      <c r="A9" s="500" t="s">
        <v>11</v>
      </c>
      <c r="B9" s="500"/>
      <c r="C9" s="501" t="s">
        <v>12</v>
      </c>
      <c r="D9" s="539"/>
      <c r="E9" s="539"/>
      <c r="F9" s="539"/>
      <c r="G9" s="539"/>
      <c r="H9" s="539"/>
      <c r="I9" s="539"/>
      <c r="J9" s="539"/>
      <c r="K9" s="539"/>
      <c r="L9" s="539"/>
      <c r="M9" s="6"/>
      <c r="N9" s="6"/>
      <c r="O9" s="6"/>
      <c r="P9" s="6"/>
      <c r="Q9" s="6"/>
      <c r="R9" s="6"/>
      <c r="S9" s="6"/>
      <c r="T9" s="6"/>
      <c r="U9" s="6"/>
      <c r="V9" s="6"/>
    </row>
    <row r="10" spans="1:52" s="7" customFormat="1" ht="18.75" customHeight="1" x14ac:dyDescent="0.25">
      <c r="A10" s="500" t="s">
        <v>13</v>
      </c>
      <c r="B10" s="500"/>
      <c r="C10" s="501" t="s">
        <v>14</v>
      </c>
      <c r="D10" s="501"/>
      <c r="E10" s="501"/>
      <c r="F10" s="501"/>
      <c r="G10" s="501"/>
      <c r="H10" s="501"/>
      <c r="I10" s="501"/>
      <c r="J10" s="501"/>
      <c r="K10" s="501"/>
      <c r="L10" s="501"/>
      <c r="M10" s="6"/>
      <c r="N10" s="6"/>
      <c r="O10" s="6"/>
      <c r="P10" s="6"/>
      <c r="Q10" s="6"/>
      <c r="R10" s="6"/>
      <c r="S10" s="6"/>
      <c r="T10" s="6"/>
      <c r="U10" s="6"/>
      <c r="V10" s="6"/>
    </row>
    <row r="11" spans="1:52" s="7" customFormat="1" ht="30.6" customHeight="1" thickBot="1" x14ac:dyDescent="0.3">
      <c r="A11" s="525" t="s">
        <v>15</v>
      </c>
      <c r="B11" s="8" t="s">
        <v>16</v>
      </c>
      <c r="C11" s="8" t="s">
        <v>17</v>
      </c>
      <c r="D11" s="9" t="s">
        <v>18</v>
      </c>
      <c r="E11" s="10" t="s">
        <v>16</v>
      </c>
      <c r="F11" s="527" t="s">
        <v>19</v>
      </c>
      <c r="G11" s="529" t="s">
        <v>20</v>
      </c>
      <c r="H11" s="530"/>
      <c r="I11" s="530"/>
      <c r="J11" s="530"/>
      <c r="K11" s="11" t="s">
        <v>21</v>
      </c>
      <c r="L11" s="531" t="s">
        <v>22</v>
      </c>
      <c r="M11" s="483" t="s">
        <v>23</v>
      </c>
      <c r="N11" s="484"/>
      <c r="O11" s="484"/>
      <c r="P11" s="484"/>
      <c r="Q11" s="484"/>
      <c r="R11" s="484"/>
      <c r="S11" s="484"/>
      <c r="T11" s="484"/>
      <c r="U11" s="484"/>
      <c r="V11" s="484"/>
      <c r="W11" s="484"/>
      <c r="X11" s="484"/>
      <c r="Y11" s="484"/>
    </row>
    <row r="12" spans="1:52" s="7" customFormat="1" ht="88.5" customHeight="1" thickBot="1" x14ac:dyDescent="0.3">
      <c r="A12" s="526"/>
      <c r="B12" s="12" t="s">
        <v>24</v>
      </c>
      <c r="C12" s="13" t="s">
        <v>25</v>
      </c>
      <c r="D12" s="14" t="s">
        <v>26</v>
      </c>
      <c r="E12" s="15" t="s">
        <v>27</v>
      </c>
      <c r="F12" s="528"/>
      <c r="G12" s="15" t="s">
        <v>28</v>
      </c>
      <c r="H12" s="15" t="s">
        <v>29</v>
      </c>
      <c r="I12" s="15" t="s">
        <v>30</v>
      </c>
      <c r="J12" s="15" t="s">
        <v>31</v>
      </c>
      <c r="K12" s="16" t="s">
        <v>32</v>
      </c>
      <c r="L12" s="532"/>
      <c r="M12" s="17" t="s">
        <v>33</v>
      </c>
      <c r="N12" s="18" t="s">
        <v>34</v>
      </c>
      <c r="O12" s="18" t="s">
        <v>35</v>
      </c>
      <c r="P12" s="19" t="s">
        <v>36</v>
      </c>
      <c r="Q12" s="19" t="s">
        <v>37</v>
      </c>
      <c r="R12" s="19" t="s">
        <v>38</v>
      </c>
      <c r="S12" s="20" t="s">
        <v>39</v>
      </c>
      <c r="T12" s="20" t="s">
        <v>40</v>
      </c>
      <c r="U12" s="21" t="s">
        <v>38</v>
      </c>
      <c r="V12" s="22" t="s">
        <v>41</v>
      </c>
      <c r="W12" s="22" t="s">
        <v>42</v>
      </c>
      <c r="X12" s="22" t="s">
        <v>43</v>
      </c>
      <c r="Y12" s="23" t="s">
        <v>44</v>
      </c>
    </row>
    <row r="13" spans="1:52" s="34" customFormat="1" ht="44.25" hidden="1" customHeight="1" outlineLevel="1" x14ac:dyDescent="0.25">
      <c r="A13" s="485" t="s">
        <v>45</v>
      </c>
      <c r="B13" s="488" t="s">
        <v>46</v>
      </c>
      <c r="C13" s="491">
        <v>43861</v>
      </c>
      <c r="D13" s="24" t="s">
        <v>47</v>
      </c>
      <c r="E13" s="25" t="s">
        <v>46</v>
      </c>
      <c r="F13" s="26">
        <v>0.1</v>
      </c>
      <c r="G13" s="25" t="s">
        <v>48</v>
      </c>
      <c r="H13" s="25"/>
      <c r="I13" s="25"/>
      <c r="J13" s="27"/>
      <c r="K13" s="492">
        <v>7300000</v>
      </c>
      <c r="L13" s="495" t="s">
        <v>49</v>
      </c>
      <c r="M13" s="28">
        <f>+((10%/1)*1)</f>
        <v>0.1</v>
      </c>
      <c r="N13" s="29">
        <f>+((10%/1)*1)</f>
        <v>0.1</v>
      </c>
      <c r="O13" s="30">
        <f t="shared" ref="O13:O20" si="0">IF(M13=N13,100%,N13/M13)</f>
        <v>1</v>
      </c>
      <c r="P13" s="31">
        <f>+((0%/1)*1)</f>
        <v>0</v>
      </c>
      <c r="Q13" s="29">
        <f>+((10%/1)*0)</f>
        <v>0</v>
      </c>
      <c r="R13" s="30">
        <f t="shared" ref="R13:R20" si="1">IF(P13=Q13,100%,Q13/P13)</f>
        <v>1</v>
      </c>
      <c r="S13" s="31">
        <f>+((10%/1)*0)</f>
        <v>0</v>
      </c>
      <c r="T13" s="29">
        <f>+((10%/1)*0)</f>
        <v>0</v>
      </c>
      <c r="U13" s="32">
        <f t="shared" ref="U13:U20" si="2">IF(S13=T13,100%,T13/S13)</f>
        <v>1</v>
      </c>
      <c r="V13" s="502">
        <f>SUM(M13:M17)+SUM(P13:P17)+SUM(S13:S17)</f>
        <v>1</v>
      </c>
      <c r="W13" s="502">
        <f>SUM(N13:N17)+SUM(Q13:Q17)+SUM(T13:T17)</f>
        <v>1</v>
      </c>
      <c r="X13" s="502">
        <f>W13/V13</f>
        <v>1</v>
      </c>
      <c r="Y13" s="33" t="s">
        <v>50</v>
      </c>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row>
    <row r="14" spans="1:52" s="34" customFormat="1" ht="60.6" hidden="1" customHeight="1" outlineLevel="1" x14ac:dyDescent="0.25">
      <c r="A14" s="486"/>
      <c r="B14" s="489"/>
      <c r="C14" s="489"/>
      <c r="D14" s="35" t="s">
        <v>51</v>
      </c>
      <c r="E14" s="36" t="s">
        <v>52</v>
      </c>
      <c r="F14" s="37">
        <v>0.3</v>
      </c>
      <c r="G14" s="36" t="s">
        <v>48</v>
      </c>
      <c r="H14" s="36"/>
      <c r="I14" s="36"/>
      <c r="J14" s="38"/>
      <c r="K14" s="493"/>
      <c r="L14" s="496"/>
      <c r="M14" s="39">
        <f>+((30%/1)*1)</f>
        <v>0.3</v>
      </c>
      <c r="N14" s="40">
        <f>+((30%/1)*1)</f>
        <v>0.3</v>
      </c>
      <c r="O14" s="41">
        <f t="shared" si="0"/>
        <v>1</v>
      </c>
      <c r="P14" s="42">
        <f>+((0%/1)*1)</f>
        <v>0</v>
      </c>
      <c r="Q14" s="40">
        <f>+((30%/1)*0)</f>
        <v>0</v>
      </c>
      <c r="R14" s="41">
        <f t="shared" si="1"/>
        <v>1</v>
      </c>
      <c r="S14" s="42">
        <f>+((30%/1)*0)</f>
        <v>0</v>
      </c>
      <c r="T14" s="40">
        <f>+((30%/1)*0)</f>
        <v>0</v>
      </c>
      <c r="U14" s="43">
        <f t="shared" si="2"/>
        <v>1</v>
      </c>
      <c r="V14" s="503"/>
      <c r="W14" s="503"/>
      <c r="X14" s="503"/>
      <c r="Y14" s="44" t="s">
        <v>50</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row>
    <row r="15" spans="1:52" s="34" customFormat="1" ht="40.15" hidden="1" customHeight="1" outlineLevel="1" x14ac:dyDescent="0.25">
      <c r="A15" s="486"/>
      <c r="B15" s="489"/>
      <c r="C15" s="489"/>
      <c r="D15" s="35" t="s">
        <v>53</v>
      </c>
      <c r="E15" s="36" t="s">
        <v>46</v>
      </c>
      <c r="F15" s="37">
        <v>0.3</v>
      </c>
      <c r="G15" s="36" t="s">
        <v>48</v>
      </c>
      <c r="H15" s="36"/>
      <c r="I15" s="36"/>
      <c r="J15" s="38"/>
      <c r="K15" s="493"/>
      <c r="L15" s="496"/>
      <c r="M15" s="39">
        <f>+((30%/1)*1)</f>
        <v>0.3</v>
      </c>
      <c r="N15" s="40">
        <f>+((30%/1)*1)</f>
        <v>0.3</v>
      </c>
      <c r="O15" s="41">
        <f t="shared" si="0"/>
        <v>1</v>
      </c>
      <c r="P15" s="42">
        <f>+((0%/1)*1)</f>
        <v>0</v>
      </c>
      <c r="Q15" s="40">
        <f>+((30%/1)*0)</f>
        <v>0</v>
      </c>
      <c r="R15" s="41">
        <f t="shared" si="1"/>
        <v>1</v>
      </c>
      <c r="S15" s="42">
        <f>+((30%/1)*0)</f>
        <v>0</v>
      </c>
      <c r="T15" s="40">
        <f>+((30%/1)*0)</f>
        <v>0</v>
      </c>
      <c r="U15" s="43">
        <f t="shared" si="2"/>
        <v>1</v>
      </c>
      <c r="V15" s="503"/>
      <c r="W15" s="503"/>
      <c r="X15" s="503"/>
      <c r="Y15" s="45" t="s">
        <v>50</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row>
    <row r="16" spans="1:52" s="34" customFormat="1" ht="97.15" hidden="1" customHeight="1" outlineLevel="1" x14ac:dyDescent="0.25">
      <c r="A16" s="486"/>
      <c r="B16" s="489"/>
      <c r="C16" s="489"/>
      <c r="D16" s="35" t="s">
        <v>54</v>
      </c>
      <c r="E16" s="36" t="s">
        <v>46</v>
      </c>
      <c r="F16" s="37">
        <v>0.15</v>
      </c>
      <c r="G16" s="36" t="s">
        <v>48</v>
      </c>
      <c r="H16" s="36"/>
      <c r="I16" s="36"/>
      <c r="J16" s="38"/>
      <c r="K16" s="493"/>
      <c r="L16" s="496"/>
      <c r="M16" s="39">
        <f>+((15%/1)*1)</f>
        <v>0.15</v>
      </c>
      <c r="N16" s="40">
        <f>+((15%/1)*1)</f>
        <v>0.15</v>
      </c>
      <c r="O16" s="41">
        <f t="shared" si="0"/>
        <v>1</v>
      </c>
      <c r="P16" s="42">
        <f>+((0%/1)*1)</f>
        <v>0</v>
      </c>
      <c r="Q16" s="40">
        <f>+((15%/1)*0)</f>
        <v>0</v>
      </c>
      <c r="R16" s="41">
        <f t="shared" si="1"/>
        <v>1</v>
      </c>
      <c r="S16" s="42">
        <f>+((15%/1)*0)</f>
        <v>0</v>
      </c>
      <c r="T16" s="40">
        <f>+((15%/1)*0)</f>
        <v>0</v>
      </c>
      <c r="U16" s="43">
        <f t="shared" si="2"/>
        <v>1</v>
      </c>
      <c r="V16" s="503"/>
      <c r="W16" s="503"/>
      <c r="X16" s="503"/>
      <c r="Y16" s="44" t="s">
        <v>50</v>
      </c>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row>
    <row r="17" spans="1:52" s="34" customFormat="1" ht="39" hidden="1" outlineLevel="1" thickBot="1" x14ac:dyDescent="0.3">
      <c r="A17" s="487"/>
      <c r="B17" s="490"/>
      <c r="C17" s="490"/>
      <c r="D17" s="46" t="s">
        <v>55</v>
      </c>
      <c r="E17" s="47" t="s">
        <v>56</v>
      </c>
      <c r="F17" s="48">
        <v>0.15</v>
      </c>
      <c r="G17" s="47"/>
      <c r="H17" s="47" t="s">
        <v>48</v>
      </c>
      <c r="I17" s="47"/>
      <c r="J17" s="49"/>
      <c r="K17" s="494"/>
      <c r="L17" s="497"/>
      <c r="M17" s="50">
        <f>+((15%/1)*0)</f>
        <v>0</v>
      </c>
      <c r="N17" s="51">
        <f>+((15%/1)*0)</f>
        <v>0</v>
      </c>
      <c r="O17" s="52">
        <f t="shared" si="0"/>
        <v>1</v>
      </c>
      <c r="P17" s="53">
        <f>+((15%/1)*1)</f>
        <v>0.15</v>
      </c>
      <c r="Q17" s="51">
        <f>+((15%/1)*1)</f>
        <v>0.15</v>
      </c>
      <c r="R17" s="52">
        <f t="shared" si="1"/>
        <v>1</v>
      </c>
      <c r="S17" s="50">
        <f>+((15%/1)*0)</f>
        <v>0</v>
      </c>
      <c r="T17" s="51">
        <f>+((15%/1)*0)</f>
        <v>0</v>
      </c>
      <c r="U17" s="54">
        <f t="shared" si="2"/>
        <v>1</v>
      </c>
      <c r="V17" s="504"/>
      <c r="W17" s="504"/>
      <c r="X17" s="504"/>
      <c r="Y17" s="55" t="s">
        <v>57</v>
      </c>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row>
    <row r="18" spans="1:52" ht="81" hidden="1" customHeight="1" outlineLevel="1" x14ac:dyDescent="0.25">
      <c r="A18" s="505" t="s">
        <v>58</v>
      </c>
      <c r="B18" s="540" t="s">
        <v>59</v>
      </c>
      <c r="C18" s="542">
        <v>44196</v>
      </c>
      <c r="D18" s="56" t="s">
        <v>60</v>
      </c>
      <c r="E18" s="57" t="s">
        <v>61</v>
      </c>
      <c r="F18" s="58">
        <v>0.4</v>
      </c>
      <c r="G18" s="59" t="s">
        <v>48</v>
      </c>
      <c r="H18" s="60" t="s">
        <v>48</v>
      </c>
      <c r="I18" s="60" t="s">
        <v>48</v>
      </c>
      <c r="J18" s="61"/>
      <c r="K18" s="544">
        <v>16000000</v>
      </c>
      <c r="L18" s="546" t="s">
        <v>49</v>
      </c>
      <c r="M18" s="28">
        <f>+((40%/3)*1)</f>
        <v>0.13333333333333333</v>
      </c>
      <c r="N18" s="29">
        <f>+((40%/3)*1)</f>
        <v>0.13333333333333333</v>
      </c>
      <c r="O18" s="30">
        <f t="shared" si="0"/>
        <v>1</v>
      </c>
      <c r="P18" s="28">
        <f>+((40%/3)*1)</f>
        <v>0.13333333333333333</v>
      </c>
      <c r="Q18" s="29">
        <f>+((40%/3)*1)</f>
        <v>0.13333333333333333</v>
      </c>
      <c r="R18" s="30">
        <f t="shared" si="1"/>
        <v>1</v>
      </c>
      <c r="S18" s="28">
        <f>+((40%/3)*1)</f>
        <v>0.13333333333333333</v>
      </c>
      <c r="T18" s="29">
        <f>+((40%/3)*0)</f>
        <v>0</v>
      </c>
      <c r="U18" s="32">
        <f t="shared" si="2"/>
        <v>0</v>
      </c>
      <c r="V18" s="548">
        <f>SUM(M18:M19)+SUM(P18:P19)+SUM(S18:S19)</f>
        <v>0.99999999999999989</v>
      </c>
      <c r="W18" s="498">
        <f>SUM(N18:N19)+SUM(Q18:Q19)+SUM(T18:T19)</f>
        <v>0.86666666666666659</v>
      </c>
      <c r="X18" s="498">
        <f>W18/V18</f>
        <v>0.8666666666666667</v>
      </c>
      <c r="Y18" s="62" t="s">
        <v>62</v>
      </c>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row>
    <row r="19" spans="1:52" ht="183.6" hidden="1" customHeight="1" outlineLevel="1" thickBot="1" x14ac:dyDescent="0.3">
      <c r="A19" s="506"/>
      <c r="B19" s="541"/>
      <c r="C19" s="543"/>
      <c r="D19" s="64" t="s">
        <v>63</v>
      </c>
      <c r="E19" s="47" t="s">
        <v>46</v>
      </c>
      <c r="F19" s="65">
        <v>0.6</v>
      </c>
      <c r="G19" s="66" t="s">
        <v>48</v>
      </c>
      <c r="H19" s="67"/>
      <c r="I19" s="67" t="s">
        <v>64</v>
      </c>
      <c r="J19" s="68"/>
      <c r="K19" s="545"/>
      <c r="L19" s="547"/>
      <c r="M19" s="53">
        <f>+((60%/1)*1)</f>
        <v>0.6</v>
      </c>
      <c r="N19" s="51">
        <f>+((60%/1)*1)</f>
        <v>0.6</v>
      </c>
      <c r="O19" s="52">
        <f t="shared" si="0"/>
        <v>1</v>
      </c>
      <c r="P19" s="50">
        <f>+((60%/1)*0)</f>
        <v>0</v>
      </c>
      <c r="Q19" s="51">
        <f>+((60%/1)*0)</f>
        <v>0</v>
      </c>
      <c r="R19" s="52">
        <f t="shared" si="1"/>
        <v>1</v>
      </c>
      <c r="S19" s="50">
        <f>+((60%/1)*0)</f>
        <v>0</v>
      </c>
      <c r="T19" s="51">
        <f>+((60%/1)*0)</f>
        <v>0</v>
      </c>
      <c r="U19" s="54">
        <f t="shared" si="2"/>
        <v>1</v>
      </c>
      <c r="V19" s="549"/>
      <c r="W19" s="499"/>
      <c r="X19" s="499"/>
      <c r="Y19" s="69" t="s">
        <v>50</v>
      </c>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row>
    <row r="20" spans="1:52" s="83" customFormat="1" ht="57.75" hidden="1" customHeight="1" outlineLevel="1" thickBot="1" x14ac:dyDescent="0.3">
      <c r="A20" s="70" t="s">
        <v>65</v>
      </c>
      <c r="B20" s="71" t="s">
        <v>66</v>
      </c>
      <c r="C20" s="72">
        <v>44196</v>
      </c>
      <c r="D20" s="73" t="s">
        <v>67</v>
      </c>
      <c r="E20" s="71" t="s">
        <v>66</v>
      </c>
      <c r="F20" s="74">
        <v>1</v>
      </c>
      <c r="G20" s="71" t="s">
        <v>48</v>
      </c>
      <c r="H20" s="71" t="s">
        <v>48</v>
      </c>
      <c r="I20" s="71" t="s">
        <v>48</v>
      </c>
      <c r="J20" s="71"/>
      <c r="K20" s="75">
        <v>5200000</v>
      </c>
      <c r="L20" s="76" t="s">
        <v>68</v>
      </c>
      <c r="M20" s="77">
        <f>+((100%/3)*1)</f>
        <v>0.33333333333333331</v>
      </c>
      <c r="N20" s="78">
        <f>+((100%/3)*1)</f>
        <v>0.33333333333333331</v>
      </c>
      <c r="O20" s="79">
        <f t="shared" si="0"/>
        <v>1</v>
      </c>
      <c r="P20" s="77">
        <f>+((100%/3)*1)</f>
        <v>0.33333333333333331</v>
      </c>
      <c r="Q20" s="78">
        <f>+((100%/3)*1)</f>
        <v>0.33333333333333331</v>
      </c>
      <c r="R20" s="79">
        <f t="shared" si="1"/>
        <v>1</v>
      </c>
      <c r="S20" s="77">
        <f>+((100%/3)*1)</f>
        <v>0.33333333333333331</v>
      </c>
      <c r="T20" s="78">
        <f>+((100%/3)*0)</f>
        <v>0</v>
      </c>
      <c r="U20" s="80">
        <f t="shared" si="2"/>
        <v>0</v>
      </c>
      <c r="V20" s="81">
        <f>M20+P20+S20</f>
        <v>1</v>
      </c>
      <c r="W20" s="81">
        <f>N20+Q20+T20</f>
        <v>0.66666666666666663</v>
      </c>
      <c r="X20" s="81">
        <f>W20/V20</f>
        <v>0.66666666666666663</v>
      </c>
      <c r="Y20" s="82" t="s">
        <v>69</v>
      </c>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row>
    <row r="21" spans="1:52" ht="15" customHeight="1" collapsed="1" x14ac:dyDescent="0.25">
      <c r="A21" s="63"/>
      <c r="B21" s="271"/>
      <c r="C21" s="271"/>
      <c r="D21" s="271"/>
      <c r="E21" s="271"/>
      <c r="F21" s="271"/>
      <c r="G21" s="271"/>
      <c r="H21" s="271"/>
      <c r="I21" s="271"/>
      <c r="J21" s="271"/>
      <c r="K21" s="271"/>
      <c r="L21" s="271"/>
      <c r="M21" s="272">
        <f>SUM(M13:M20)/3</f>
        <v>0.63888888888888884</v>
      </c>
      <c r="N21" s="272">
        <f>SUM(N13:N20)/3</f>
        <v>0.63888888888888884</v>
      </c>
      <c r="O21" s="272"/>
      <c r="P21" s="272">
        <f>SUM(P13:P20)/3</f>
        <v>0.20555555555555557</v>
      </c>
      <c r="Q21" s="272">
        <f>SUM(Q13:Q20)/3</f>
        <v>0.20555555555555557</v>
      </c>
      <c r="R21" s="272"/>
      <c r="S21" s="272">
        <f>SUM(S13:S20)/3</f>
        <v>0.15555555555555556</v>
      </c>
      <c r="T21" s="272">
        <f>SUM(T13:T20)/3</f>
        <v>0</v>
      </c>
      <c r="U21" s="271" t="s">
        <v>70</v>
      </c>
      <c r="V21" s="84">
        <f>SUM(V13:V20)/3</f>
        <v>1</v>
      </c>
      <c r="W21" s="85">
        <f>SUM(W13:W20)/3</f>
        <v>0.84444444444444444</v>
      </c>
      <c r="X21" s="85">
        <f>SUM(X13:X20)/3</f>
        <v>0.84444444444444444</v>
      </c>
      <c r="Z21" s="7"/>
      <c r="AA21" s="7"/>
      <c r="AB21" s="7"/>
      <c r="AE21" s="7"/>
      <c r="AF21" s="7"/>
      <c r="AG21" s="7"/>
      <c r="AH21" s="7"/>
      <c r="AI21" s="7"/>
      <c r="AJ21" s="7"/>
      <c r="AK21" s="7"/>
      <c r="AL21" s="7"/>
      <c r="AM21" s="7"/>
      <c r="AN21" s="7"/>
      <c r="AO21" s="7"/>
      <c r="AP21" s="7"/>
      <c r="AQ21" s="7"/>
      <c r="AR21" s="7"/>
      <c r="AS21" s="7"/>
      <c r="AT21" s="7"/>
      <c r="AU21" s="7"/>
      <c r="AV21" s="7"/>
      <c r="AW21" s="7"/>
      <c r="AX21" s="7"/>
      <c r="AY21" s="7"/>
      <c r="AZ21" s="7"/>
    </row>
    <row r="22" spans="1:52" ht="15" customHeight="1" x14ac:dyDescent="0.25">
      <c r="A22" s="268"/>
      <c r="B22" s="268"/>
      <c r="C22" s="268"/>
      <c r="D22" s="268"/>
      <c r="E22" s="268"/>
      <c r="F22" s="268"/>
      <c r="G22" s="268"/>
      <c r="H22" s="268"/>
      <c r="I22" s="268"/>
      <c r="J22" s="268"/>
      <c r="K22" s="268"/>
      <c r="L22" s="268"/>
      <c r="M22" s="268"/>
      <c r="N22" s="268"/>
      <c r="O22" s="268"/>
      <c r="P22" s="268"/>
      <c r="Q22" s="268"/>
      <c r="R22" s="268"/>
      <c r="S22" s="268"/>
      <c r="T22" s="268"/>
      <c r="U22" s="268"/>
      <c r="V22" s="269"/>
      <c r="W22" s="270"/>
      <c r="X22" s="270"/>
      <c r="Z22" s="7"/>
      <c r="AA22" s="7"/>
      <c r="AB22" s="7"/>
      <c r="AE22" s="7"/>
      <c r="AF22" s="7"/>
      <c r="AG22" s="7"/>
      <c r="AH22" s="7"/>
      <c r="AI22" s="7"/>
      <c r="AJ22" s="7"/>
      <c r="AK22" s="7"/>
      <c r="AL22" s="7"/>
      <c r="AM22" s="7"/>
      <c r="AN22" s="7"/>
      <c r="AO22" s="7"/>
      <c r="AP22" s="7"/>
      <c r="AQ22" s="7"/>
      <c r="AR22" s="7"/>
      <c r="AS22" s="7"/>
      <c r="AT22" s="7"/>
      <c r="AU22" s="7"/>
      <c r="AV22" s="7"/>
      <c r="AW22" s="7"/>
      <c r="AX22" s="7"/>
      <c r="AY22" s="7"/>
      <c r="AZ22" s="7"/>
    </row>
    <row r="23" spans="1:52" s="7" customFormat="1" x14ac:dyDescent="0.25">
      <c r="A23" s="500" t="s">
        <v>71</v>
      </c>
      <c r="B23" s="500"/>
      <c r="C23" s="501" t="s">
        <v>72</v>
      </c>
      <c r="D23" s="501"/>
      <c r="E23" s="501"/>
      <c r="F23" s="501"/>
      <c r="G23" s="501"/>
      <c r="H23" s="501"/>
      <c r="I23" s="501"/>
      <c r="J23" s="501"/>
      <c r="K23" s="501"/>
      <c r="L23" s="501"/>
      <c r="M23" s="86"/>
      <c r="N23" s="86"/>
      <c r="O23" s="6"/>
      <c r="P23" s="6"/>
      <c r="Q23" s="6"/>
      <c r="R23" s="6"/>
      <c r="S23" s="6"/>
      <c r="T23" s="6"/>
      <c r="U23" s="6"/>
      <c r="V23" s="6"/>
      <c r="W23" s="87"/>
      <c r="X23" s="87"/>
    </row>
    <row r="24" spans="1:52" hidden="1" outlineLevel="1" x14ac:dyDescent="0.25">
      <c r="A24" s="88"/>
      <c r="B24" s="88"/>
      <c r="C24" s="89"/>
      <c r="D24" s="90"/>
      <c r="E24" s="88"/>
      <c r="F24" s="91"/>
      <c r="G24" s="88"/>
      <c r="H24" s="88"/>
      <c r="I24" s="88"/>
      <c r="J24" s="88"/>
      <c r="K24" s="92"/>
      <c r="L24" s="88"/>
      <c r="Z24" s="7"/>
      <c r="AA24" s="7"/>
      <c r="AB24" s="7"/>
      <c r="AE24" s="7"/>
      <c r="AF24" s="7"/>
      <c r="AG24" s="7"/>
      <c r="AH24" s="7"/>
      <c r="AI24" s="7"/>
      <c r="AJ24" s="7"/>
      <c r="AK24" s="7"/>
      <c r="AL24" s="7"/>
      <c r="AM24" s="7"/>
      <c r="AN24" s="7"/>
      <c r="AO24" s="7"/>
      <c r="AP24" s="7"/>
      <c r="AQ24" s="7"/>
      <c r="AR24" s="7"/>
      <c r="AS24" s="7"/>
      <c r="AT24" s="7"/>
      <c r="AU24" s="7"/>
      <c r="AV24" s="7"/>
      <c r="AW24" s="7"/>
      <c r="AX24" s="7"/>
      <c r="AY24" s="7"/>
      <c r="AZ24" s="7"/>
    </row>
    <row r="25" spans="1:52" s="7" customFormat="1" ht="17.25" customHeight="1" collapsed="1" x14ac:dyDescent="0.25">
      <c r="A25" s="500" t="s">
        <v>73</v>
      </c>
      <c r="B25" s="500"/>
      <c r="C25" s="501" t="s">
        <v>74</v>
      </c>
      <c r="D25" s="501"/>
      <c r="E25" s="501"/>
      <c r="F25" s="501"/>
      <c r="G25" s="501"/>
      <c r="H25" s="501"/>
      <c r="I25" s="501"/>
      <c r="J25" s="501"/>
      <c r="K25" s="501"/>
      <c r="L25" s="501"/>
      <c r="M25" s="6"/>
      <c r="N25" s="6"/>
      <c r="O25" s="6"/>
      <c r="P25" s="6"/>
      <c r="Q25" s="6"/>
      <c r="R25" s="6"/>
      <c r="S25" s="6"/>
      <c r="T25" s="6"/>
      <c r="U25" s="6"/>
      <c r="V25" s="6"/>
    </row>
    <row r="26" spans="1:52" s="7" customFormat="1" ht="39" customHeight="1" x14ac:dyDescent="0.25">
      <c r="A26" s="550" t="s">
        <v>15</v>
      </c>
      <c r="B26" s="94" t="s">
        <v>16</v>
      </c>
      <c r="C26" s="94" t="s">
        <v>17</v>
      </c>
      <c r="D26" s="95" t="s">
        <v>18</v>
      </c>
      <c r="E26" s="96" t="s">
        <v>16</v>
      </c>
      <c r="F26" s="97" t="s">
        <v>19</v>
      </c>
      <c r="G26" s="551" t="s">
        <v>20</v>
      </c>
      <c r="H26" s="551"/>
      <c r="I26" s="551"/>
      <c r="J26" s="551"/>
      <c r="K26" s="98" t="s">
        <v>21</v>
      </c>
      <c r="L26" s="552" t="s">
        <v>22</v>
      </c>
      <c r="M26" s="553" t="s">
        <v>23</v>
      </c>
      <c r="N26" s="553"/>
      <c r="O26" s="553"/>
      <c r="P26" s="553"/>
      <c r="Q26" s="553"/>
      <c r="R26" s="553"/>
      <c r="S26" s="553"/>
      <c r="T26" s="553"/>
      <c r="U26" s="553"/>
      <c r="V26" s="553"/>
      <c r="W26" s="553"/>
      <c r="X26" s="553"/>
      <c r="Y26" s="553"/>
    </row>
    <row r="27" spans="1:52" s="7" customFormat="1" ht="48" x14ac:dyDescent="0.25">
      <c r="A27" s="550"/>
      <c r="B27" s="99" t="s">
        <v>24</v>
      </c>
      <c r="C27" s="94" t="s">
        <v>25</v>
      </c>
      <c r="D27" s="96" t="s">
        <v>26</v>
      </c>
      <c r="E27" s="95" t="s">
        <v>27</v>
      </c>
      <c r="F27" s="100"/>
      <c r="G27" s="95" t="s">
        <v>75</v>
      </c>
      <c r="H27" s="95" t="s">
        <v>29</v>
      </c>
      <c r="I27" s="95" t="s">
        <v>30</v>
      </c>
      <c r="J27" s="95" t="s">
        <v>31</v>
      </c>
      <c r="K27" s="98" t="s">
        <v>32</v>
      </c>
      <c r="L27" s="552"/>
      <c r="M27" s="101" t="s">
        <v>33</v>
      </c>
      <c r="N27" s="101" t="s">
        <v>34</v>
      </c>
      <c r="O27" s="101" t="s">
        <v>76</v>
      </c>
      <c r="P27" s="102" t="s">
        <v>36</v>
      </c>
      <c r="Q27" s="102" t="s">
        <v>37</v>
      </c>
      <c r="R27" s="102" t="s">
        <v>38</v>
      </c>
      <c r="S27" s="103" t="s">
        <v>39</v>
      </c>
      <c r="T27" s="103" t="s">
        <v>40</v>
      </c>
      <c r="U27" s="103" t="s">
        <v>38</v>
      </c>
      <c r="V27" s="101" t="s">
        <v>77</v>
      </c>
      <c r="W27" s="101" t="s">
        <v>78</v>
      </c>
      <c r="X27" s="101" t="s">
        <v>43</v>
      </c>
      <c r="Y27" s="104" t="s">
        <v>44</v>
      </c>
    </row>
    <row r="28" spans="1:52" ht="147.75" hidden="1" customHeight="1" outlineLevel="1" x14ac:dyDescent="0.25">
      <c r="A28" s="554" t="s">
        <v>79</v>
      </c>
      <c r="B28" s="554" t="s">
        <v>46</v>
      </c>
      <c r="C28" s="555">
        <v>44196</v>
      </c>
      <c r="D28" s="105" t="s">
        <v>80</v>
      </c>
      <c r="E28" s="106" t="s">
        <v>81</v>
      </c>
      <c r="F28" s="107">
        <v>0.3</v>
      </c>
      <c r="G28" s="106" t="s">
        <v>48</v>
      </c>
      <c r="H28" s="106" t="s">
        <v>48</v>
      </c>
      <c r="I28" s="106" t="s">
        <v>48</v>
      </c>
      <c r="J28" s="106" t="s">
        <v>48</v>
      </c>
      <c r="K28" s="556">
        <v>14000000</v>
      </c>
      <c r="L28" s="554" t="s">
        <v>49</v>
      </c>
      <c r="M28" s="108">
        <f>+((30%/3)*1)</f>
        <v>9.9999999999999992E-2</v>
      </c>
      <c r="N28" s="40">
        <f>+((30%/3)*1)</f>
        <v>9.9999999999999992E-2</v>
      </c>
      <c r="O28" s="109">
        <f t="shared" ref="O28:O42" si="3">IF(M28=N28,100%,N28/M28)</f>
        <v>1</v>
      </c>
      <c r="P28" s="108">
        <f>+((30%/3)*1)</f>
        <v>9.9999999999999992E-2</v>
      </c>
      <c r="Q28" s="40">
        <f>+((30%/3)*1)</f>
        <v>9.9999999999999992E-2</v>
      </c>
      <c r="R28" s="109">
        <f t="shared" ref="R28:R42" si="4">IF(P28=Q28,100%,Q28/P28)</f>
        <v>1</v>
      </c>
      <c r="S28" s="108">
        <f>+((30%/3)*1)</f>
        <v>9.9999999999999992E-2</v>
      </c>
      <c r="T28" s="40">
        <f>+((30%/4)*0)</f>
        <v>0</v>
      </c>
      <c r="U28" s="109">
        <f t="shared" ref="U28:U42" si="5">IF(S28=T28,100%,T28/S28)</f>
        <v>0</v>
      </c>
      <c r="V28" s="557">
        <f>SUM(M28:M32)+SUM(P28:P32)+SUM(S28:S32)</f>
        <v>0.99999999999999989</v>
      </c>
      <c r="W28" s="558">
        <f>+SUM(N28:N32)+SUM(Q28:Q32)+SUM(T28:T32)</f>
        <v>0.64999999999999991</v>
      </c>
      <c r="X28" s="558">
        <f>V28*W28</f>
        <v>0.6499999999999998</v>
      </c>
      <c r="Y28" s="110" t="s">
        <v>82</v>
      </c>
      <c r="AA28" s="7"/>
      <c r="AE28" s="7"/>
      <c r="AF28" s="7"/>
      <c r="AG28" s="7"/>
      <c r="AH28" s="7"/>
      <c r="AI28" s="7"/>
      <c r="AJ28" s="7"/>
      <c r="AK28" s="7"/>
      <c r="AL28" s="7"/>
      <c r="AM28" s="7"/>
      <c r="AN28" s="7"/>
      <c r="AO28" s="7"/>
      <c r="AP28" s="7"/>
      <c r="AQ28" s="7"/>
      <c r="AR28" s="7"/>
      <c r="AS28" s="7"/>
      <c r="AT28" s="7"/>
      <c r="AU28" s="7"/>
      <c r="AV28" s="7"/>
      <c r="AW28" s="7"/>
      <c r="AX28" s="7"/>
      <c r="AY28" s="7"/>
      <c r="AZ28" s="7"/>
    </row>
    <row r="29" spans="1:52" ht="38.25" hidden="1" outlineLevel="1" x14ac:dyDescent="0.25">
      <c r="A29" s="554"/>
      <c r="B29" s="554"/>
      <c r="C29" s="555"/>
      <c r="D29" s="111" t="s">
        <v>83</v>
      </c>
      <c r="E29" s="554" t="s">
        <v>81</v>
      </c>
      <c r="F29" s="107">
        <v>0.3</v>
      </c>
      <c r="G29" s="106"/>
      <c r="H29" s="106" t="s">
        <v>48</v>
      </c>
      <c r="I29" s="106"/>
      <c r="J29" s="106" t="s">
        <v>48</v>
      </c>
      <c r="K29" s="556"/>
      <c r="L29" s="554"/>
      <c r="M29" s="40">
        <f>+((30%/2)*0)</f>
        <v>0</v>
      </c>
      <c r="N29" s="40">
        <f>+((30%/2)*0)</f>
        <v>0</v>
      </c>
      <c r="O29" s="109">
        <f t="shared" si="3"/>
        <v>1</v>
      </c>
      <c r="P29" s="108">
        <f>+((30%/2)*1)</f>
        <v>0.15</v>
      </c>
      <c r="Q29" s="40">
        <f>+((30%/2)*1)</f>
        <v>0.15</v>
      </c>
      <c r="R29" s="109">
        <f t="shared" si="4"/>
        <v>1</v>
      </c>
      <c r="S29" s="108">
        <f>+((30%/2)*1)</f>
        <v>0.15</v>
      </c>
      <c r="T29" s="40">
        <f>+((30%/2)*0)</f>
        <v>0</v>
      </c>
      <c r="U29" s="109">
        <f t="shared" si="5"/>
        <v>0</v>
      </c>
      <c r="V29" s="557"/>
      <c r="W29" s="559"/>
      <c r="X29" s="558"/>
      <c r="Y29" s="110" t="s">
        <v>84</v>
      </c>
      <c r="AA29" s="7"/>
      <c r="AE29" s="7"/>
      <c r="AF29" s="7"/>
      <c r="AG29" s="7"/>
      <c r="AH29" s="7"/>
      <c r="AI29" s="7"/>
      <c r="AJ29" s="7"/>
      <c r="AK29" s="7"/>
      <c r="AL29" s="7"/>
      <c r="AM29" s="7"/>
      <c r="AN29" s="7"/>
      <c r="AO29" s="7"/>
      <c r="AP29" s="7"/>
      <c r="AQ29" s="7"/>
      <c r="AR29" s="7"/>
      <c r="AS29" s="7"/>
      <c r="AT29" s="7"/>
      <c r="AU29" s="7"/>
      <c r="AV29" s="7"/>
      <c r="AW29" s="7"/>
      <c r="AX29" s="7"/>
      <c r="AY29" s="7"/>
      <c r="AZ29" s="7"/>
    </row>
    <row r="30" spans="1:52" ht="57.75" hidden="1" customHeight="1" outlineLevel="1" x14ac:dyDescent="0.25">
      <c r="A30" s="554"/>
      <c r="B30" s="554"/>
      <c r="C30" s="555"/>
      <c r="D30" s="112" t="s">
        <v>85</v>
      </c>
      <c r="E30" s="554"/>
      <c r="F30" s="107">
        <v>0.2</v>
      </c>
      <c r="G30" s="106"/>
      <c r="H30" s="106" t="s">
        <v>48</v>
      </c>
      <c r="I30" s="106"/>
      <c r="J30" s="106" t="s">
        <v>48</v>
      </c>
      <c r="K30" s="556"/>
      <c r="L30" s="554"/>
      <c r="M30" s="40">
        <f>+((20%/2)*0)</f>
        <v>0</v>
      </c>
      <c r="N30" s="40">
        <f>+((20%/2)*0)</f>
        <v>0</v>
      </c>
      <c r="O30" s="109">
        <f t="shared" si="3"/>
        <v>1</v>
      </c>
      <c r="P30" s="108">
        <f>+((20%/2)*1)</f>
        <v>0.1</v>
      </c>
      <c r="Q30" s="40">
        <f>+((20%/2)*1)</f>
        <v>0.1</v>
      </c>
      <c r="R30" s="109">
        <f t="shared" si="4"/>
        <v>1</v>
      </c>
      <c r="S30" s="108">
        <f>+((20%/2)*1)</f>
        <v>0.1</v>
      </c>
      <c r="T30" s="40">
        <f>+((20%/2)*0)</f>
        <v>0</v>
      </c>
      <c r="U30" s="109">
        <f t="shared" si="5"/>
        <v>0</v>
      </c>
      <c r="V30" s="557"/>
      <c r="W30" s="559"/>
      <c r="X30" s="558"/>
      <c r="Y30" s="110" t="s">
        <v>84</v>
      </c>
      <c r="AA30" s="7"/>
      <c r="AE30" s="7"/>
      <c r="AF30" s="7"/>
      <c r="AG30" s="7"/>
      <c r="AH30" s="7"/>
      <c r="AI30" s="7"/>
      <c r="AJ30" s="7"/>
      <c r="AK30" s="7"/>
      <c r="AL30" s="7"/>
      <c r="AM30" s="7"/>
      <c r="AN30" s="7"/>
      <c r="AO30" s="7"/>
      <c r="AP30" s="7"/>
      <c r="AQ30" s="7"/>
      <c r="AR30" s="7"/>
      <c r="AS30" s="7"/>
      <c r="AT30" s="7"/>
      <c r="AU30" s="7"/>
      <c r="AV30" s="7"/>
      <c r="AW30" s="7"/>
      <c r="AX30" s="7"/>
      <c r="AY30" s="7"/>
      <c r="AZ30" s="7"/>
    </row>
    <row r="31" spans="1:52" ht="63.75" hidden="1" outlineLevel="1" x14ac:dyDescent="0.25">
      <c r="A31" s="554"/>
      <c r="B31" s="554"/>
      <c r="C31" s="555"/>
      <c r="D31" s="105" t="s">
        <v>86</v>
      </c>
      <c r="E31" s="554"/>
      <c r="F31" s="107">
        <v>0.1</v>
      </c>
      <c r="G31" s="106" t="s">
        <v>48</v>
      </c>
      <c r="H31" s="106"/>
      <c r="I31" s="106"/>
      <c r="J31" s="106"/>
      <c r="K31" s="556"/>
      <c r="L31" s="554"/>
      <c r="M31" s="108">
        <f>+((10%/1)*1)</f>
        <v>0.1</v>
      </c>
      <c r="N31" s="40">
        <f>+((10%/1)*1)</f>
        <v>0.1</v>
      </c>
      <c r="O31" s="109">
        <f t="shared" si="3"/>
        <v>1</v>
      </c>
      <c r="P31" s="40">
        <f>+((10%/1)*0)</f>
        <v>0</v>
      </c>
      <c r="Q31" s="40">
        <f>+((10%/1)*0)</f>
        <v>0</v>
      </c>
      <c r="R31" s="109">
        <f t="shared" si="4"/>
        <v>1</v>
      </c>
      <c r="S31" s="40">
        <f>+((10%/1)*0)</f>
        <v>0</v>
      </c>
      <c r="T31" s="40">
        <f>+((10%/1)*0)</f>
        <v>0</v>
      </c>
      <c r="U31" s="109">
        <f t="shared" si="5"/>
        <v>1</v>
      </c>
      <c r="V31" s="557"/>
      <c r="W31" s="559"/>
      <c r="X31" s="558"/>
      <c r="Y31" s="110" t="s">
        <v>50</v>
      </c>
      <c r="AA31" s="7"/>
      <c r="AE31" s="7"/>
      <c r="AF31" s="7"/>
      <c r="AG31" s="7"/>
      <c r="AH31" s="7"/>
      <c r="AI31" s="7"/>
      <c r="AJ31" s="7"/>
      <c r="AK31" s="7"/>
      <c r="AL31" s="7"/>
      <c r="AM31" s="7"/>
      <c r="AN31" s="7"/>
      <c r="AO31" s="7"/>
      <c r="AP31" s="7"/>
      <c r="AQ31" s="7"/>
      <c r="AR31" s="7"/>
      <c r="AS31" s="7"/>
      <c r="AT31" s="7"/>
      <c r="AU31" s="7"/>
      <c r="AV31" s="7"/>
      <c r="AW31" s="7"/>
      <c r="AX31" s="7"/>
      <c r="AY31" s="7"/>
      <c r="AZ31" s="7"/>
    </row>
    <row r="32" spans="1:52" ht="76.5" hidden="1" outlineLevel="1" x14ac:dyDescent="0.25">
      <c r="A32" s="554"/>
      <c r="B32" s="554"/>
      <c r="C32" s="555"/>
      <c r="D32" s="110" t="s">
        <v>87</v>
      </c>
      <c r="E32" s="554"/>
      <c r="F32" s="107">
        <v>0.1</v>
      </c>
      <c r="G32" s="106"/>
      <c r="H32" s="114" t="s">
        <v>48</v>
      </c>
      <c r="I32" s="114"/>
      <c r="J32" s="113"/>
      <c r="K32" s="556"/>
      <c r="L32" s="554"/>
      <c r="M32" s="40">
        <f>+((10%/1)*0)</f>
        <v>0</v>
      </c>
      <c r="N32" s="40">
        <f>+((10%/1)*0)</f>
        <v>0</v>
      </c>
      <c r="O32" s="109">
        <f t="shared" si="3"/>
        <v>1</v>
      </c>
      <c r="P32" s="108">
        <f>+((10%/1)*1)</f>
        <v>0.1</v>
      </c>
      <c r="Q32" s="40">
        <f>+((10%/1)*1)</f>
        <v>0.1</v>
      </c>
      <c r="R32" s="109">
        <f t="shared" si="4"/>
        <v>1</v>
      </c>
      <c r="S32" s="40">
        <f>+((10%/1)*0)</f>
        <v>0</v>
      </c>
      <c r="T32" s="40">
        <f>+((10%/1)*0)</f>
        <v>0</v>
      </c>
      <c r="U32" s="109">
        <f t="shared" si="5"/>
        <v>1</v>
      </c>
      <c r="V32" s="557"/>
      <c r="W32" s="559"/>
      <c r="X32" s="558"/>
      <c r="Y32" s="115" t="s">
        <v>88</v>
      </c>
      <c r="AA32" s="7"/>
      <c r="AE32" s="7"/>
      <c r="AF32" s="7"/>
      <c r="AG32" s="7"/>
      <c r="AH32" s="7"/>
      <c r="AI32" s="7"/>
      <c r="AJ32" s="7"/>
      <c r="AK32" s="7"/>
      <c r="AL32" s="7"/>
      <c r="AM32" s="7"/>
      <c r="AN32" s="7"/>
      <c r="AO32" s="7"/>
      <c r="AP32" s="7"/>
      <c r="AQ32" s="7"/>
      <c r="AR32" s="7"/>
      <c r="AS32" s="7"/>
      <c r="AT32" s="7"/>
      <c r="AU32" s="7"/>
      <c r="AV32" s="7"/>
      <c r="AW32" s="7"/>
      <c r="AX32" s="7"/>
      <c r="AY32" s="7"/>
      <c r="AZ32" s="7"/>
    </row>
    <row r="33" spans="1:52" ht="89.25" hidden="1" outlineLevel="1" x14ac:dyDescent="0.25">
      <c r="A33" s="554" t="s">
        <v>89</v>
      </c>
      <c r="B33" s="554" t="s">
        <v>90</v>
      </c>
      <c r="C33" s="555">
        <v>44196</v>
      </c>
      <c r="D33" s="105" t="s">
        <v>91</v>
      </c>
      <c r="E33" s="106" t="s">
        <v>81</v>
      </c>
      <c r="F33" s="107">
        <v>0.5</v>
      </c>
      <c r="G33" s="106"/>
      <c r="H33" s="106"/>
      <c r="I33" s="106"/>
      <c r="J33" s="106" t="s">
        <v>48</v>
      </c>
      <c r="K33" s="556">
        <v>6300000</v>
      </c>
      <c r="L33" s="554" t="s">
        <v>49</v>
      </c>
      <c r="M33" s="40">
        <f>+((50%/1)*0)</f>
        <v>0</v>
      </c>
      <c r="N33" s="40">
        <f>+((50%/1)*0)</f>
        <v>0</v>
      </c>
      <c r="O33" s="109">
        <f t="shared" si="3"/>
        <v>1</v>
      </c>
      <c r="P33" s="40">
        <f>+((50%/1)*0)</f>
        <v>0</v>
      </c>
      <c r="Q33" s="40">
        <f>+((50%/1)*0)</f>
        <v>0</v>
      </c>
      <c r="R33" s="109">
        <f t="shared" si="4"/>
        <v>1</v>
      </c>
      <c r="S33" s="108">
        <f>+((50%/1)*1)</f>
        <v>0.5</v>
      </c>
      <c r="T33" s="40">
        <f>+((50%/1)*0)</f>
        <v>0</v>
      </c>
      <c r="U33" s="109">
        <f t="shared" si="5"/>
        <v>0</v>
      </c>
      <c r="V33" s="557">
        <f>SUM(M33:M34)+SUM(P33:P34)+SUM(S33:S34)</f>
        <v>1</v>
      </c>
      <c r="W33" s="558">
        <f>+SUM(N33:N34)+SUM(Q33:Q34)+SUM(T33:T34)</f>
        <v>0.25</v>
      </c>
      <c r="X33" s="558">
        <f>V33*W33</f>
        <v>0.25</v>
      </c>
      <c r="Y33" s="116" t="s">
        <v>92</v>
      </c>
      <c r="AA33" s="7"/>
      <c r="AE33" s="7"/>
      <c r="AF33" s="7"/>
      <c r="AG33" s="7"/>
      <c r="AH33" s="7"/>
      <c r="AI33" s="7"/>
      <c r="AJ33" s="7"/>
      <c r="AK33" s="7"/>
      <c r="AL33" s="7"/>
      <c r="AM33" s="7"/>
      <c r="AN33" s="7"/>
      <c r="AO33" s="7"/>
      <c r="AP33" s="7"/>
      <c r="AQ33" s="7"/>
      <c r="AR33" s="7"/>
      <c r="AS33" s="7"/>
      <c r="AT33" s="7"/>
      <c r="AU33" s="7"/>
      <c r="AV33" s="7"/>
      <c r="AW33" s="7"/>
      <c r="AX33" s="7"/>
      <c r="AY33" s="7"/>
      <c r="AZ33" s="7"/>
    </row>
    <row r="34" spans="1:52" ht="69" hidden="1" customHeight="1" outlineLevel="1" x14ac:dyDescent="0.25">
      <c r="A34" s="554"/>
      <c r="B34" s="554"/>
      <c r="C34" s="555"/>
      <c r="D34" s="105" t="s">
        <v>93</v>
      </c>
      <c r="E34" s="106" t="s">
        <v>94</v>
      </c>
      <c r="F34" s="107">
        <v>0.5</v>
      </c>
      <c r="G34" s="106"/>
      <c r="H34" s="106" t="s">
        <v>48</v>
      </c>
      <c r="I34" s="106"/>
      <c r="J34" s="106" t="s">
        <v>48</v>
      </c>
      <c r="K34" s="556"/>
      <c r="L34" s="554"/>
      <c r="M34" s="40">
        <f>+((50%/1)*0)</f>
        <v>0</v>
      </c>
      <c r="N34" s="40">
        <f>+((50%/1)*0)</f>
        <v>0</v>
      </c>
      <c r="O34" s="109">
        <f t="shared" si="3"/>
        <v>1</v>
      </c>
      <c r="P34" s="108">
        <f>+((50%/2)*1)</f>
        <v>0.25</v>
      </c>
      <c r="Q34" s="40">
        <f>+((50%/2)*1)</f>
        <v>0.25</v>
      </c>
      <c r="R34" s="109">
        <f t="shared" si="4"/>
        <v>1</v>
      </c>
      <c r="S34" s="108">
        <f>+((50%/2)*1)</f>
        <v>0.25</v>
      </c>
      <c r="T34" s="40">
        <f>+((50%/1)*0)</f>
        <v>0</v>
      </c>
      <c r="U34" s="109">
        <f t="shared" si="5"/>
        <v>0</v>
      </c>
      <c r="V34" s="557"/>
      <c r="W34" s="559"/>
      <c r="X34" s="558"/>
      <c r="Y34" s="110" t="s">
        <v>95</v>
      </c>
      <c r="AA34" s="7"/>
      <c r="AE34" s="7"/>
      <c r="AF34" s="7"/>
      <c r="AG34" s="7"/>
      <c r="AH34" s="7"/>
      <c r="AI34" s="7"/>
      <c r="AJ34" s="7"/>
      <c r="AK34" s="7"/>
      <c r="AL34" s="7"/>
      <c r="AM34" s="7"/>
      <c r="AN34" s="7"/>
      <c r="AO34" s="7"/>
      <c r="AP34" s="7"/>
      <c r="AQ34" s="7"/>
      <c r="AR34" s="7"/>
      <c r="AS34" s="7"/>
      <c r="AT34" s="7"/>
      <c r="AU34" s="7"/>
      <c r="AV34" s="7"/>
      <c r="AW34" s="7"/>
      <c r="AX34" s="7"/>
      <c r="AY34" s="7"/>
      <c r="AZ34" s="7"/>
    </row>
    <row r="35" spans="1:52" ht="46.9" hidden="1" customHeight="1" outlineLevel="1" x14ac:dyDescent="0.25">
      <c r="A35" s="554" t="s">
        <v>96</v>
      </c>
      <c r="B35" s="554" t="s">
        <v>46</v>
      </c>
      <c r="C35" s="555">
        <v>44196</v>
      </c>
      <c r="D35" s="105" t="s">
        <v>97</v>
      </c>
      <c r="E35" s="554" t="s">
        <v>81</v>
      </c>
      <c r="F35" s="107">
        <v>0.15</v>
      </c>
      <c r="G35" s="106"/>
      <c r="H35" s="106"/>
      <c r="I35" s="106"/>
      <c r="J35" s="106" t="s">
        <v>48</v>
      </c>
      <c r="K35" s="556">
        <v>12000000</v>
      </c>
      <c r="L35" s="554" t="s">
        <v>49</v>
      </c>
      <c r="M35" s="40">
        <f>+((15%/1)*0)</f>
        <v>0</v>
      </c>
      <c r="N35" s="40">
        <f>+((15%/1)*0)</f>
        <v>0</v>
      </c>
      <c r="O35" s="109">
        <f t="shared" si="3"/>
        <v>1</v>
      </c>
      <c r="P35" s="40">
        <f>+((15%/1)*0)</f>
        <v>0</v>
      </c>
      <c r="Q35" s="40">
        <f>+((15%/1)*0)</f>
        <v>0</v>
      </c>
      <c r="R35" s="109">
        <f t="shared" si="4"/>
        <v>1</v>
      </c>
      <c r="S35" s="108">
        <f>+((15%/1)*1)</f>
        <v>0.15</v>
      </c>
      <c r="T35" s="40">
        <f>+((15%/1)*0)</f>
        <v>0</v>
      </c>
      <c r="U35" s="109">
        <f t="shared" si="5"/>
        <v>0</v>
      </c>
      <c r="V35" s="565">
        <f>SUM(M35:M42)+SUM(P35:P42)+SUM(S35:S42)</f>
        <v>1</v>
      </c>
      <c r="W35" s="562">
        <f>+SUM(N35:N42)+SUM(Q35:Q42)+SUM(T35:T42)</f>
        <v>0.47499999999999998</v>
      </c>
      <c r="X35" s="562">
        <f>W35/V35</f>
        <v>0.47499999999999998</v>
      </c>
      <c r="Y35" s="110" t="s">
        <v>98</v>
      </c>
      <c r="AA35" s="7"/>
      <c r="AE35" s="7"/>
      <c r="AF35" s="7"/>
      <c r="AG35" s="7"/>
      <c r="AH35" s="7"/>
      <c r="AI35" s="7"/>
      <c r="AJ35" s="7"/>
      <c r="AK35" s="7"/>
      <c r="AL35" s="7"/>
      <c r="AM35" s="7"/>
      <c r="AN35" s="7"/>
      <c r="AO35" s="7"/>
      <c r="AP35" s="7"/>
      <c r="AQ35" s="7"/>
      <c r="AR35" s="7"/>
      <c r="AS35" s="7"/>
      <c r="AT35" s="7"/>
      <c r="AU35" s="7"/>
      <c r="AV35" s="7"/>
      <c r="AW35" s="7"/>
      <c r="AX35" s="7"/>
      <c r="AY35" s="7"/>
      <c r="AZ35" s="7"/>
    </row>
    <row r="36" spans="1:52" ht="111" hidden="1" customHeight="1" outlineLevel="1" x14ac:dyDescent="0.25">
      <c r="A36" s="554"/>
      <c r="B36" s="554"/>
      <c r="C36" s="555"/>
      <c r="D36" s="105" t="s">
        <v>99</v>
      </c>
      <c r="E36" s="554"/>
      <c r="F36" s="107">
        <v>0.1</v>
      </c>
      <c r="G36" s="106" t="s">
        <v>48</v>
      </c>
      <c r="H36" s="106"/>
      <c r="I36" s="106"/>
      <c r="J36" s="106"/>
      <c r="K36" s="556"/>
      <c r="L36" s="554"/>
      <c r="M36" s="108">
        <f>+((10%/1)*1)</f>
        <v>0.1</v>
      </c>
      <c r="N36" s="40">
        <f>+((10%/1)*1)</f>
        <v>0.1</v>
      </c>
      <c r="O36" s="109">
        <f t="shared" si="3"/>
        <v>1</v>
      </c>
      <c r="P36" s="40">
        <f>+((10%/1)*0)</f>
        <v>0</v>
      </c>
      <c r="Q36" s="40">
        <f>+((10%/1)*0)</f>
        <v>0</v>
      </c>
      <c r="R36" s="109">
        <f t="shared" si="4"/>
        <v>1</v>
      </c>
      <c r="S36" s="40">
        <f>+((10%/1)*0)</f>
        <v>0</v>
      </c>
      <c r="T36" s="40">
        <f>+((10%/1)*0)</f>
        <v>0</v>
      </c>
      <c r="U36" s="109">
        <f t="shared" si="5"/>
        <v>1</v>
      </c>
      <c r="V36" s="566"/>
      <c r="W36" s="563"/>
      <c r="X36" s="563"/>
      <c r="Y36" s="110" t="s">
        <v>50</v>
      </c>
      <c r="AA36" s="7"/>
      <c r="AE36" s="7"/>
      <c r="AF36" s="7"/>
      <c r="AG36" s="7"/>
      <c r="AH36" s="7"/>
      <c r="AI36" s="7"/>
      <c r="AJ36" s="7"/>
      <c r="AK36" s="7"/>
      <c r="AL36" s="7"/>
      <c r="AM36" s="7"/>
      <c r="AN36" s="7"/>
      <c r="AO36" s="7"/>
      <c r="AP36" s="7"/>
      <c r="AQ36" s="7"/>
      <c r="AR36" s="7"/>
      <c r="AS36" s="7"/>
      <c r="AT36" s="7"/>
      <c r="AU36" s="7"/>
      <c r="AV36" s="7"/>
      <c r="AW36" s="7"/>
      <c r="AX36" s="7"/>
      <c r="AY36" s="7"/>
      <c r="AZ36" s="7"/>
    </row>
    <row r="37" spans="1:52" ht="116.45" hidden="1" customHeight="1" outlineLevel="1" x14ac:dyDescent="0.25">
      <c r="A37" s="554"/>
      <c r="B37" s="554"/>
      <c r="C37" s="555"/>
      <c r="D37" s="105" t="s">
        <v>100</v>
      </c>
      <c r="E37" s="106" t="s">
        <v>81</v>
      </c>
      <c r="F37" s="117">
        <v>0.1</v>
      </c>
      <c r="G37" s="114"/>
      <c r="H37" s="114"/>
      <c r="I37" s="114"/>
      <c r="J37" s="114" t="s">
        <v>48</v>
      </c>
      <c r="K37" s="556"/>
      <c r="L37" s="554"/>
      <c r="M37" s="40">
        <f>+(10%/1)*0</f>
        <v>0</v>
      </c>
      <c r="N37" s="40">
        <f>+(10%/1)*0</f>
        <v>0</v>
      </c>
      <c r="O37" s="109">
        <f t="shared" si="3"/>
        <v>1</v>
      </c>
      <c r="P37" s="40">
        <f>+(10%/1)*0</f>
        <v>0</v>
      </c>
      <c r="Q37" s="40">
        <f>+(10%/1)*0</f>
        <v>0</v>
      </c>
      <c r="R37" s="109">
        <f t="shared" si="4"/>
        <v>1</v>
      </c>
      <c r="S37" s="108">
        <f>+(10%/1)*1</f>
        <v>0.1</v>
      </c>
      <c r="T37" s="40">
        <f>+(10%/1)*0</f>
        <v>0</v>
      </c>
      <c r="U37" s="109">
        <f t="shared" si="5"/>
        <v>0</v>
      </c>
      <c r="V37" s="566"/>
      <c r="W37" s="563"/>
      <c r="X37" s="563"/>
      <c r="Y37" s="110" t="s">
        <v>98</v>
      </c>
      <c r="AE37" s="7"/>
      <c r="AF37" s="7"/>
      <c r="AG37" s="7"/>
      <c r="AH37" s="7"/>
      <c r="AI37" s="7"/>
      <c r="AJ37" s="7"/>
      <c r="AK37" s="7"/>
      <c r="AL37" s="7"/>
      <c r="AM37" s="7"/>
      <c r="AN37" s="7"/>
      <c r="AO37" s="7"/>
      <c r="AP37" s="7"/>
      <c r="AQ37" s="7"/>
      <c r="AR37" s="7"/>
      <c r="AS37" s="7"/>
      <c r="AT37" s="7"/>
      <c r="AU37" s="7"/>
      <c r="AV37" s="7"/>
      <c r="AW37" s="7"/>
      <c r="AX37" s="7"/>
      <c r="AY37" s="7"/>
      <c r="AZ37" s="7"/>
    </row>
    <row r="38" spans="1:52" ht="83.45" hidden="1" customHeight="1" outlineLevel="1" x14ac:dyDescent="0.25">
      <c r="A38" s="554"/>
      <c r="B38" s="554"/>
      <c r="C38" s="555"/>
      <c r="D38" s="105" t="s">
        <v>101</v>
      </c>
      <c r="E38" s="106" t="s">
        <v>81</v>
      </c>
      <c r="F38" s="118">
        <v>0.15</v>
      </c>
      <c r="G38" s="114"/>
      <c r="H38" s="114" t="s">
        <v>48</v>
      </c>
      <c r="I38" s="114"/>
      <c r="J38" s="114"/>
      <c r="K38" s="556"/>
      <c r="L38" s="554"/>
      <c r="M38" s="40">
        <f>+((15%/1)*0)</f>
        <v>0</v>
      </c>
      <c r="N38" s="40">
        <f>+((15%/1)*0)</f>
        <v>0</v>
      </c>
      <c r="O38" s="109">
        <f t="shared" si="3"/>
        <v>1</v>
      </c>
      <c r="P38" s="108">
        <f>+((15%/1)*1)</f>
        <v>0.15</v>
      </c>
      <c r="Q38" s="40">
        <f>+((15%/1)*1)</f>
        <v>0.15</v>
      </c>
      <c r="R38" s="109">
        <f t="shared" si="4"/>
        <v>1</v>
      </c>
      <c r="S38" s="40">
        <f>+((15%/1)*0)</f>
        <v>0</v>
      </c>
      <c r="T38" s="40">
        <f>+((15%/1)*0)</f>
        <v>0</v>
      </c>
      <c r="U38" s="109">
        <f t="shared" si="5"/>
        <v>1</v>
      </c>
      <c r="V38" s="566"/>
      <c r="W38" s="563"/>
      <c r="X38" s="563"/>
      <c r="Y38" s="119" t="s">
        <v>102</v>
      </c>
      <c r="AE38" s="7"/>
      <c r="AF38" s="7"/>
      <c r="AG38" s="7"/>
      <c r="AH38" s="7"/>
      <c r="AI38" s="7"/>
      <c r="AJ38" s="7"/>
      <c r="AK38" s="7"/>
      <c r="AL38" s="7"/>
      <c r="AM38" s="7"/>
      <c r="AN38" s="7"/>
      <c r="AO38" s="7"/>
      <c r="AP38" s="7"/>
      <c r="AQ38" s="7"/>
      <c r="AR38" s="7"/>
      <c r="AS38" s="7"/>
      <c r="AT38" s="7"/>
      <c r="AU38" s="7"/>
      <c r="AV38" s="7"/>
      <c r="AW38" s="7"/>
      <c r="AX38" s="7"/>
      <c r="AY38" s="7"/>
      <c r="AZ38" s="7"/>
    </row>
    <row r="39" spans="1:52" ht="61.15" hidden="1" customHeight="1" outlineLevel="1" x14ac:dyDescent="0.25">
      <c r="A39" s="554"/>
      <c r="B39" s="554"/>
      <c r="C39" s="555"/>
      <c r="D39" s="120" t="s">
        <v>103</v>
      </c>
      <c r="E39" s="106" t="s">
        <v>81</v>
      </c>
      <c r="F39" s="118">
        <v>0.1</v>
      </c>
      <c r="G39" s="121"/>
      <c r="H39" s="122"/>
      <c r="I39" s="122"/>
      <c r="J39" s="114" t="s">
        <v>48</v>
      </c>
      <c r="K39" s="556"/>
      <c r="L39" s="554"/>
      <c r="M39" s="40">
        <f>+(10%/1)*0</f>
        <v>0</v>
      </c>
      <c r="N39" s="40">
        <f>+(10%/1)*0</f>
        <v>0</v>
      </c>
      <c r="O39" s="109">
        <f t="shared" si="3"/>
        <v>1</v>
      </c>
      <c r="P39" s="40">
        <f>+(10%/1)*0</f>
        <v>0</v>
      </c>
      <c r="Q39" s="40">
        <f>+(10%/1)*0</f>
        <v>0</v>
      </c>
      <c r="R39" s="109">
        <f t="shared" si="4"/>
        <v>1</v>
      </c>
      <c r="S39" s="108">
        <f>+(10%/1)*1</f>
        <v>0.1</v>
      </c>
      <c r="T39" s="40">
        <f>+(10%/1)*0</f>
        <v>0</v>
      </c>
      <c r="U39" s="109">
        <f t="shared" si="5"/>
        <v>0</v>
      </c>
      <c r="V39" s="566"/>
      <c r="W39" s="563"/>
      <c r="X39" s="563"/>
      <c r="Y39" s="110" t="s">
        <v>98</v>
      </c>
      <c r="AE39" s="7"/>
      <c r="AF39" s="7"/>
      <c r="AG39" s="7"/>
      <c r="AH39" s="7"/>
      <c r="AI39" s="7"/>
      <c r="AJ39" s="7"/>
      <c r="AK39" s="7"/>
      <c r="AL39" s="7"/>
      <c r="AM39" s="7"/>
      <c r="AN39" s="7"/>
      <c r="AO39" s="7"/>
      <c r="AP39" s="7"/>
      <c r="AQ39" s="7"/>
      <c r="AR39" s="7"/>
      <c r="AS39" s="7"/>
      <c r="AT39" s="7"/>
      <c r="AU39" s="7"/>
      <c r="AV39" s="7"/>
      <c r="AW39" s="7"/>
      <c r="AX39" s="7"/>
      <c r="AY39" s="7"/>
      <c r="AZ39" s="7"/>
    </row>
    <row r="40" spans="1:52" ht="63.75" hidden="1" customHeight="1" outlineLevel="1" x14ac:dyDescent="0.25">
      <c r="A40" s="554"/>
      <c r="B40" s="554"/>
      <c r="C40" s="555"/>
      <c r="D40" s="105" t="s">
        <v>104</v>
      </c>
      <c r="E40" s="106" t="s">
        <v>81</v>
      </c>
      <c r="F40" s="107">
        <v>0.1</v>
      </c>
      <c r="G40" s="106"/>
      <c r="H40" s="114" t="s">
        <v>48</v>
      </c>
      <c r="I40" s="114"/>
      <c r="J40" s="114" t="s">
        <v>48</v>
      </c>
      <c r="K40" s="556"/>
      <c r="L40" s="554"/>
      <c r="M40" s="40">
        <f>+(10%/1)*0</f>
        <v>0</v>
      </c>
      <c r="N40" s="40">
        <f>+(10%/1)*0</f>
        <v>0</v>
      </c>
      <c r="O40" s="109">
        <f t="shared" si="3"/>
        <v>1</v>
      </c>
      <c r="P40" s="108">
        <f>+(10%/2)*1</f>
        <v>0.05</v>
      </c>
      <c r="Q40" s="40">
        <f>+(10%/2)*1</f>
        <v>0.05</v>
      </c>
      <c r="R40" s="109">
        <f t="shared" si="4"/>
        <v>1</v>
      </c>
      <c r="S40" s="108">
        <f>+(10%/2)*1</f>
        <v>0.05</v>
      </c>
      <c r="T40" s="40">
        <f>+(10%/2)*0</f>
        <v>0</v>
      </c>
      <c r="U40" s="109">
        <f t="shared" si="5"/>
        <v>0</v>
      </c>
      <c r="V40" s="566"/>
      <c r="W40" s="563"/>
      <c r="X40" s="563"/>
      <c r="Y40" s="119" t="s">
        <v>105</v>
      </c>
      <c r="AE40" s="7"/>
      <c r="AF40" s="7"/>
      <c r="AG40" s="7"/>
      <c r="AH40" s="7"/>
      <c r="AI40" s="7"/>
      <c r="AJ40" s="7"/>
      <c r="AK40" s="7"/>
      <c r="AL40" s="7"/>
      <c r="AM40" s="7"/>
      <c r="AN40" s="7"/>
      <c r="AO40" s="7"/>
      <c r="AP40" s="7"/>
      <c r="AQ40" s="7"/>
      <c r="AR40" s="7"/>
      <c r="AS40" s="7"/>
      <c r="AT40" s="7"/>
      <c r="AU40" s="7"/>
      <c r="AV40" s="7"/>
      <c r="AW40" s="7"/>
      <c r="AX40" s="7"/>
      <c r="AY40" s="7"/>
      <c r="AZ40" s="7"/>
    </row>
    <row r="41" spans="1:52" ht="51.75" hidden="1" customHeight="1" outlineLevel="1" x14ac:dyDescent="0.25">
      <c r="A41" s="554"/>
      <c r="B41" s="554"/>
      <c r="C41" s="555"/>
      <c r="D41" s="105" t="s">
        <v>106</v>
      </c>
      <c r="E41" s="106" t="s">
        <v>81</v>
      </c>
      <c r="F41" s="118">
        <v>0.15</v>
      </c>
      <c r="G41" s="106"/>
      <c r="H41" s="114" t="s">
        <v>48</v>
      </c>
      <c r="I41" s="122"/>
      <c r="J41" s="114" t="s">
        <v>48</v>
      </c>
      <c r="K41" s="556"/>
      <c r="L41" s="554"/>
      <c r="M41" s="40">
        <f>+((15%/1)*0)</f>
        <v>0</v>
      </c>
      <c r="N41" s="40">
        <f>+((15%/1)*0)</f>
        <v>0</v>
      </c>
      <c r="O41" s="109">
        <f t="shared" si="3"/>
        <v>1</v>
      </c>
      <c r="P41" s="108">
        <f>+((15%/2)*1)</f>
        <v>7.4999999999999997E-2</v>
      </c>
      <c r="Q41" s="40">
        <f>+((15%/2)*1)</f>
        <v>7.4999999999999997E-2</v>
      </c>
      <c r="R41" s="109">
        <f t="shared" si="4"/>
        <v>1</v>
      </c>
      <c r="S41" s="108">
        <f>+((15%/2)*1)</f>
        <v>7.4999999999999997E-2</v>
      </c>
      <c r="T41" s="40">
        <f>+((15%/2)*0)</f>
        <v>0</v>
      </c>
      <c r="U41" s="109">
        <f t="shared" si="5"/>
        <v>0</v>
      </c>
      <c r="V41" s="567"/>
      <c r="W41" s="564"/>
      <c r="X41" s="564"/>
      <c r="Y41" s="119" t="s">
        <v>107</v>
      </c>
      <c r="AE41" s="7"/>
      <c r="AF41" s="7"/>
      <c r="AG41" s="7"/>
      <c r="AH41" s="7"/>
      <c r="AI41" s="7"/>
      <c r="AJ41" s="7"/>
      <c r="AK41" s="7"/>
      <c r="AL41" s="7"/>
      <c r="AM41" s="7"/>
      <c r="AN41" s="7"/>
      <c r="AO41" s="7"/>
      <c r="AP41" s="7"/>
      <c r="AQ41" s="7"/>
      <c r="AR41" s="7"/>
      <c r="AS41" s="7"/>
      <c r="AT41" s="7"/>
      <c r="AU41" s="7"/>
      <c r="AV41" s="7"/>
      <c r="AW41" s="7"/>
      <c r="AX41" s="7"/>
      <c r="AY41" s="7"/>
      <c r="AZ41" s="7"/>
    </row>
    <row r="42" spans="1:52" ht="38.25" hidden="1" outlineLevel="1" x14ac:dyDescent="0.25">
      <c r="A42" s="554"/>
      <c r="B42" s="123" t="s">
        <v>108</v>
      </c>
      <c r="C42" s="124">
        <v>44196</v>
      </c>
      <c r="D42" s="125" t="s">
        <v>109</v>
      </c>
      <c r="E42" s="123" t="s">
        <v>66</v>
      </c>
      <c r="F42" s="126">
        <v>0.15</v>
      </c>
      <c r="G42" s="114" t="s">
        <v>48</v>
      </c>
      <c r="H42" s="106" t="s">
        <v>48</v>
      </c>
      <c r="I42" s="106" t="s">
        <v>48</v>
      </c>
      <c r="J42" s="114"/>
      <c r="K42" s="127">
        <v>5000000</v>
      </c>
      <c r="L42" s="554"/>
      <c r="M42" s="108">
        <f>+((15%/3)*1)</f>
        <v>4.9999999999999996E-2</v>
      </c>
      <c r="N42" s="40">
        <f>+((15%/3)*1)</f>
        <v>4.9999999999999996E-2</v>
      </c>
      <c r="O42" s="109">
        <f t="shared" si="3"/>
        <v>1</v>
      </c>
      <c r="P42" s="108">
        <f>+((15%/3)*1)</f>
        <v>4.9999999999999996E-2</v>
      </c>
      <c r="Q42" s="40">
        <f>+((15%/3)*1)</f>
        <v>4.9999999999999996E-2</v>
      </c>
      <c r="R42" s="109">
        <f t="shared" si="4"/>
        <v>1</v>
      </c>
      <c r="S42" s="108">
        <f>+((15%/3)*1)</f>
        <v>4.9999999999999996E-2</v>
      </c>
      <c r="T42" s="40">
        <f>+((15%/3)*0)</f>
        <v>0</v>
      </c>
      <c r="U42" s="109">
        <f t="shared" si="5"/>
        <v>0</v>
      </c>
      <c r="V42" s="109"/>
      <c r="W42" s="276"/>
      <c r="X42" s="276"/>
      <c r="Y42" s="128" t="s">
        <v>110</v>
      </c>
      <c r="AE42" s="7"/>
      <c r="AF42" s="7"/>
      <c r="AG42" s="7"/>
      <c r="AH42" s="7"/>
      <c r="AI42" s="7"/>
      <c r="AJ42" s="7"/>
      <c r="AK42" s="7"/>
      <c r="AL42" s="7"/>
      <c r="AM42" s="7"/>
      <c r="AN42" s="7"/>
      <c r="AO42" s="7"/>
      <c r="AP42" s="7"/>
      <c r="AQ42" s="7"/>
      <c r="AR42" s="7"/>
      <c r="AS42" s="7"/>
      <c r="AT42" s="7"/>
      <c r="AU42" s="7"/>
      <c r="AV42" s="7"/>
      <c r="AW42" s="7"/>
      <c r="AX42" s="7"/>
      <c r="AY42" s="7"/>
      <c r="AZ42" s="7"/>
    </row>
    <row r="43" spans="1:52" collapsed="1" x14ac:dyDescent="0.25">
      <c r="A43" s="88"/>
      <c r="B43" s="129"/>
      <c r="C43" s="130"/>
      <c r="D43" s="131"/>
      <c r="E43" s="129"/>
      <c r="F43" s="132"/>
      <c r="G43" s="7"/>
      <c r="H43" s="88"/>
      <c r="I43" s="88"/>
      <c r="J43" s="7"/>
      <c r="K43" s="133"/>
      <c r="L43" s="88"/>
      <c r="M43" s="275">
        <f>SUM(M28:M42)/3</f>
        <v>0.11666666666666668</v>
      </c>
      <c r="N43" s="134">
        <f>SUM(N28:N42)/3</f>
        <v>0.11666666666666668</v>
      </c>
      <c r="O43" s="135"/>
      <c r="P43" s="275">
        <f>SUM(P28:P42)/3</f>
        <v>0.34166666666666662</v>
      </c>
      <c r="Q43" s="134">
        <f>SUM(Q28:Q42)/3</f>
        <v>0.34166666666666662</v>
      </c>
      <c r="R43" s="135"/>
      <c r="S43" s="275">
        <f>SUM(S28:S42)/3</f>
        <v>0.54166666666666674</v>
      </c>
      <c r="T43" s="135"/>
      <c r="U43" s="84" t="s">
        <v>111</v>
      </c>
      <c r="V43" s="84">
        <f>SUM(V28:V42)/3</f>
        <v>1</v>
      </c>
      <c r="W43" s="84">
        <f>SUM(W28:W42)/3</f>
        <v>0.45833333333333331</v>
      </c>
      <c r="X43" s="84">
        <f>SUM(X28:X42)/3</f>
        <v>0.45833333333333326</v>
      </c>
      <c r="Y43" s="136"/>
      <c r="AE43" s="7"/>
      <c r="AF43" s="7"/>
      <c r="AG43" s="7"/>
      <c r="AH43" s="7"/>
      <c r="AI43" s="7"/>
      <c r="AJ43" s="7"/>
      <c r="AK43" s="7"/>
      <c r="AL43" s="7"/>
      <c r="AM43" s="7"/>
      <c r="AN43" s="7"/>
      <c r="AO43" s="7"/>
      <c r="AP43" s="7"/>
      <c r="AQ43" s="7"/>
      <c r="AR43" s="7"/>
      <c r="AS43" s="7"/>
      <c r="AT43" s="7"/>
      <c r="AU43" s="7"/>
      <c r="AV43" s="7"/>
      <c r="AW43" s="7"/>
      <c r="AX43" s="7"/>
      <c r="AY43" s="7"/>
      <c r="AZ43" s="7"/>
    </row>
    <row r="44" spans="1:52" x14ac:dyDescent="0.25">
      <c r="A44" s="88"/>
      <c r="B44" s="129"/>
      <c r="C44" s="130"/>
      <c r="D44" s="131"/>
      <c r="E44" s="129"/>
      <c r="F44" s="132"/>
      <c r="G44" s="7"/>
      <c r="H44" s="88"/>
      <c r="I44" s="88"/>
      <c r="J44" s="7"/>
      <c r="K44" s="133"/>
      <c r="L44" s="88"/>
      <c r="M44" s="134"/>
      <c r="N44" s="134"/>
      <c r="O44" s="135"/>
      <c r="P44" s="135"/>
      <c r="Q44" s="135"/>
      <c r="R44" s="135"/>
      <c r="S44" s="135"/>
      <c r="T44" s="135"/>
      <c r="U44" s="269"/>
      <c r="V44" s="269"/>
      <c r="W44" s="269"/>
      <c r="X44" s="269"/>
      <c r="Y44" s="136"/>
      <c r="AE44" s="7"/>
      <c r="AF44" s="7"/>
      <c r="AG44" s="7"/>
      <c r="AH44" s="7"/>
      <c r="AI44" s="7"/>
      <c r="AJ44" s="7"/>
      <c r="AK44" s="7"/>
      <c r="AL44" s="7"/>
      <c r="AM44" s="7"/>
      <c r="AN44" s="7"/>
      <c r="AO44" s="7"/>
      <c r="AP44" s="7"/>
      <c r="AQ44" s="7"/>
      <c r="AR44" s="7"/>
      <c r="AS44" s="7"/>
      <c r="AT44" s="7"/>
      <c r="AU44" s="7"/>
      <c r="AV44" s="7"/>
      <c r="AW44" s="7"/>
      <c r="AX44" s="7"/>
      <c r="AY44" s="7"/>
      <c r="AZ44" s="7"/>
    </row>
    <row r="45" spans="1:52" x14ac:dyDescent="0.25">
      <c r="A45" s="88"/>
      <c r="B45" s="129"/>
      <c r="C45" s="130"/>
      <c r="D45" s="131"/>
      <c r="E45" s="129"/>
      <c r="F45" s="132"/>
      <c r="G45" s="7"/>
      <c r="H45" s="88"/>
      <c r="I45" s="88"/>
      <c r="J45" s="7"/>
      <c r="K45" s="133"/>
      <c r="L45" s="88"/>
      <c r="M45" s="134"/>
      <c r="N45" s="134"/>
      <c r="O45" s="135"/>
      <c r="P45" s="135"/>
      <c r="Q45" s="135"/>
      <c r="R45" s="135"/>
      <c r="S45" s="135"/>
      <c r="T45" s="135"/>
      <c r="U45" s="135"/>
      <c r="V45" s="135"/>
      <c r="W45" s="7"/>
      <c r="X45" s="7"/>
      <c r="Y45" s="136"/>
      <c r="AE45" s="7"/>
      <c r="AF45" s="7"/>
      <c r="AG45" s="7"/>
      <c r="AH45" s="7"/>
      <c r="AI45" s="7"/>
      <c r="AJ45" s="7"/>
      <c r="AK45" s="7"/>
      <c r="AL45" s="7"/>
      <c r="AM45" s="7"/>
      <c r="AN45" s="7"/>
      <c r="AO45" s="7"/>
      <c r="AP45" s="7"/>
      <c r="AQ45" s="7"/>
      <c r="AR45" s="7"/>
      <c r="AS45" s="7"/>
      <c r="AT45" s="7"/>
      <c r="AU45" s="7"/>
      <c r="AV45" s="7"/>
      <c r="AW45" s="7"/>
      <c r="AX45" s="7"/>
      <c r="AY45" s="7"/>
      <c r="AZ45" s="7"/>
    </row>
    <row r="46" spans="1:52" ht="17.25" customHeight="1" x14ac:dyDescent="0.25">
      <c r="A46" s="500" t="s">
        <v>112</v>
      </c>
      <c r="B46" s="500"/>
      <c r="C46" s="501" t="s">
        <v>113</v>
      </c>
      <c r="D46" s="501"/>
      <c r="E46" s="501"/>
      <c r="F46" s="501"/>
      <c r="G46" s="501"/>
      <c r="H46" s="501"/>
      <c r="I46" s="501"/>
      <c r="J46" s="501"/>
      <c r="K46" s="501"/>
      <c r="L46" s="501"/>
      <c r="AE46" s="7"/>
      <c r="AF46" s="7"/>
      <c r="AG46" s="7"/>
      <c r="AH46" s="7"/>
      <c r="AI46" s="7"/>
      <c r="AJ46" s="7"/>
      <c r="AK46" s="7"/>
      <c r="AL46" s="7"/>
      <c r="AM46" s="7"/>
      <c r="AN46" s="7"/>
      <c r="AO46" s="7"/>
      <c r="AP46" s="7"/>
      <c r="AQ46" s="7"/>
      <c r="AR46" s="7"/>
      <c r="AS46" s="7"/>
      <c r="AT46" s="7"/>
      <c r="AU46" s="7"/>
      <c r="AV46" s="7"/>
      <c r="AW46" s="7"/>
      <c r="AX46" s="7"/>
      <c r="AY46" s="7"/>
      <c r="AZ46" s="7"/>
    </row>
    <row r="47" spans="1:52" s="7" customFormat="1" ht="39.6" customHeight="1" x14ac:dyDescent="0.25">
      <c r="A47" s="550" t="s">
        <v>15</v>
      </c>
      <c r="B47" s="94" t="s">
        <v>16</v>
      </c>
      <c r="C47" s="94" t="s">
        <v>17</v>
      </c>
      <c r="D47" s="95" t="s">
        <v>18</v>
      </c>
      <c r="E47" s="96" t="s">
        <v>16</v>
      </c>
      <c r="F47" s="97" t="s">
        <v>19</v>
      </c>
      <c r="G47" s="551" t="s">
        <v>20</v>
      </c>
      <c r="H47" s="551"/>
      <c r="I47" s="551"/>
      <c r="J47" s="551"/>
      <c r="K47" s="98" t="s">
        <v>21</v>
      </c>
      <c r="L47" s="552" t="s">
        <v>22</v>
      </c>
      <c r="M47" s="560" t="s">
        <v>23</v>
      </c>
      <c r="N47" s="561"/>
      <c r="O47" s="561"/>
      <c r="P47" s="561"/>
      <c r="Q47" s="561"/>
      <c r="R47" s="561"/>
      <c r="S47" s="561"/>
      <c r="T47" s="561"/>
      <c r="U47" s="561"/>
      <c r="V47" s="561"/>
      <c r="W47" s="561"/>
      <c r="X47" s="561"/>
      <c r="Y47" s="561"/>
    </row>
    <row r="48" spans="1:52" s="7" customFormat="1" ht="48" x14ac:dyDescent="0.25">
      <c r="A48" s="550"/>
      <c r="B48" s="99" t="s">
        <v>24</v>
      </c>
      <c r="C48" s="94" t="s">
        <v>25</v>
      </c>
      <c r="D48" s="96" t="s">
        <v>26</v>
      </c>
      <c r="E48" s="95" t="s">
        <v>27</v>
      </c>
      <c r="F48" s="100"/>
      <c r="G48" s="95" t="s">
        <v>75</v>
      </c>
      <c r="H48" s="95" t="s">
        <v>29</v>
      </c>
      <c r="I48" s="95" t="s">
        <v>30</v>
      </c>
      <c r="J48" s="95" t="s">
        <v>31</v>
      </c>
      <c r="K48" s="98" t="s">
        <v>32</v>
      </c>
      <c r="L48" s="552"/>
      <c r="M48" s="101" t="s">
        <v>33</v>
      </c>
      <c r="N48" s="101" t="s">
        <v>34</v>
      </c>
      <c r="O48" s="101" t="s">
        <v>35</v>
      </c>
      <c r="P48" s="102" t="s">
        <v>36</v>
      </c>
      <c r="Q48" s="102" t="s">
        <v>37</v>
      </c>
      <c r="R48" s="102" t="s">
        <v>38</v>
      </c>
      <c r="S48" s="103" t="s">
        <v>39</v>
      </c>
      <c r="T48" s="103" t="s">
        <v>40</v>
      </c>
      <c r="U48" s="103" t="s">
        <v>38</v>
      </c>
      <c r="V48" s="101" t="s">
        <v>41</v>
      </c>
      <c r="W48" s="101" t="s">
        <v>42</v>
      </c>
      <c r="X48" s="101" t="s">
        <v>43</v>
      </c>
      <c r="Y48" s="104" t="s">
        <v>44</v>
      </c>
    </row>
    <row r="49" spans="1:52" ht="51" hidden="1" customHeight="1" outlineLevel="1" x14ac:dyDescent="0.25">
      <c r="A49" s="568" t="s">
        <v>114</v>
      </c>
      <c r="B49" s="568" t="s">
        <v>46</v>
      </c>
      <c r="C49" s="569">
        <v>44196</v>
      </c>
      <c r="D49" s="120" t="s">
        <v>115</v>
      </c>
      <c r="E49" s="137" t="s">
        <v>81</v>
      </c>
      <c r="F49" s="138">
        <v>0.2</v>
      </c>
      <c r="G49" s="137"/>
      <c r="H49" s="137"/>
      <c r="I49" s="137" t="s">
        <v>48</v>
      </c>
      <c r="J49" s="139"/>
      <c r="K49" s="570">
        <v>30000000</v>
      </c>
      <c r="L49" s="568" t="s">
        <v>49</v>
      </c>
      <c r="M49" s="40">
        <f>+((20%/1)*0)</f>
        <v>0</v>
      </c>
      <c r="N49" s="40">
        <f>+((20%/1)*0)</f>
        <v>0</v>
      </c>
      <c r="O49" s="109">
        <f>IF(M49=N49,100%,N49/M49)</f>
        <v>1</v>
      </c>
      <c r="P49" s="140">
        <f>+((20%/1)*0)</f>
        <v>0</v>
      </c>
      <c r="Q49" s="40">
        <f>+((20%/1)*0)</f>
        <v>0</v>
      </c>
      <c r="R49" s="109">
        <f>IF(P49=Q49,100%,Q49/P49)</f>
        <v>1</v>
      </c>
      <c r="S49" s="108">
        <f>+((20%/1)*1)</f>
        <v>0.2</v>
      </c>
      <c r="T49" s="40">
        <f>+((20%/1)*0)</f>
        <v>0</v>
      </c>
      <c r="U49" s="109">
        <f>IF(S49=T49,100%,T49/S49)</f>
        <v>0</v>
      </c>
      <c r="V49" s="558">
        <f>SUM(M49:M51)+SUM(P49:P51)+SUM(S49:S51)</f>
        <v>1</v>
      </c>
      <c r="W49" s="558">
        <f>+SUM(N49:N51)+SUM(Q49:Q51)+SUM(T49:T51)</f>
        <v>0</v>
      </c>
      <c r="X49" s="558">
        <v>0</v>
      </c>
      <c r="Y49" s="119" t="s">
        <v>116</v>
      </c>
      <c r="AE49" s="7"/>
      <c r="AF49" s="7"/>
      <c r="AG49" s="7"/>
      <c r="AH49" s="7"/>
      <c r="AI49" s="7"/>
      <c r="AJ49" s="7"/>
      <c r="AK49" s="7"/>
      <c r="AL49" s="7"/>
      <c r="AM49" s="7"/>
      <c r="AN49" s="7"/>
      <c r="AO49" s="7"/>
      <c r="AP49" s="7"/>
      <c r="AQ49" s="7"/>
      <c r="AR49" s="7"/>
      <c r="AS49" s="7"/>
      <c r="AT49" s="7"/>
      <c r="AU49" s="7"/>
      <c r="AV49" s="7"/>
      <c r="AW49" s="7"/>
      <c r="AX49" s="7"/>
      <c r="AY49" s="7"/>
      <c r="AZ49" s="7"/>
    </row>
    <row r="50" spans="1:52" ht="51" hidden="1" customHeight="1" outlineLevel="1" x14ac:dyDescent="0.25">
      <c r="A50" s="568"/>
      <c r="B50" s="568"/>
      <c r="C50" s="569"/>
      <c r="D50" s="120" t="s">
        <v>117</v>
      </c>
      <c r="E50" s="137" t="s">
        <v>81</v>
      </c>
      <c r="F50" s="138">
        <v>0.4</v>
      </c>
      <c r="G50" s="137"/>
      <c r="H50" s="137"/>
      <c r="I50" s="137"/>
      <c r="J50" s="137" t="s">
        <v>48</v>
      </c>
      <c r="K50" s="570"/>
      <c r="L50" s="568"/>
      <c r="M50" s="40">
        <f>+((40%/1)*0)</f>
        <v>0</v>
      </c>
      <c r="N50" s="40">
        <f>+((40%/1)*0)</f>
        <v>0</v>
      </c>
      <c r="O50" s="109">
        <f t="shared" ref="O50:O62" si="6">IF(M50=N50,100%,N50/M50)</f>
        <v>1</v>
      </c>
      <c r="P50" s="40">
        <f>+((40%/1)*0)</f>
        <v>0</v>
      </c>
      <c r="Q50" s="40">
        <f>+((40%/1)*0)</f>
        <v>0</v>
      </c>
      <c r="R50" s="109">
        <f t="shared" ref="R50:R62" si="7">IF(P50=Q50,100%,Q50/P50)</f>
        <v>1</v>
      </c>
      <c r="S50" s="108">
        <f>+((40%/1)*1)</f>
        <v>0.4</v>
      </c>
      <c r="T50" s="40">
        <f>+((40%/1)*0)</f>
        <v>0</v>
      </c>
      <c r="U50" s="109">
        <f t="shared" ref="U50:U62" si="8">IF(S50=T50,100%,T50/S50)</f>
        <v>0</v>
      </c>
      <c r="V50" s="559"/>
      <c r="W50" s="559"/>
      <c r="X50" s="558"/>
      <c r="Y50" s="119" t="s">
        <v>116</v>
      </c>
      <c r="AE50" s="7"/>
      <c r="AF50" s="7"/>
      <c r="AG50" s="7"/>
      <c r="AH50" s="7"/>
      <c r="AI50" s="7"/>
      <c r="AJ50" s="7"/>
      <c r="AK50" s="7"/>
      <c r="AL50" s="7"/>
      <c r="AM50" s="7"/>
      <c r="AN50" s="7"/>
      <c r="AO50" s="7"/>
      <c r="AP50" s="7"/>
      <c r="AQ50" s="7"/>
      <c r="AR50" s="7"/>
      <c r="AS50" s="7"/>
      <c r="AT50" s="7"/>
      <c r="AU50" s="7"/>
      <c r="AV50" s="7"/>
      <c r="AW50" s="7"/>
      <c r="AX50" s="7"/>
      <c r="AY50" s="7"/>
      <c r="AZ50" s="7"/>
    </row>
    <row r="51" spans="1:52" ht="63.75" hidden="1" outlineLevel="1" x14ac:dyDescent="0.25">
      <c r="A51" s="568"/>
      <c r="B51" s="137" t="s">
        <v>118</v>
      </c>
      <c r="C51" s="568"/>
      <c r="D51" s="125" t="s">
        <v>119</v>
      </c>
      <c r="E51" s="137" t="s">
        <v>118</v>
      </c>
      <c r="F51" s="138">
        <v>0.4</v>
      </c>
      <c r="G51" s="137"/>
      <c r="H51" s="139"/>
      <c r="I51" s="139"/>
      <c r="J51" s="137" t="s">
        <v>48</v>
      </c>
      <c r="K51" s="570"/>
      <c r="L51" s="568"/>
      <c r="M51" s="40">
        <f>+((40%/1)*0)</f>
        <v>0</v>
      </c>
      <c r="N51" s="40">
        <f>+((40%/1)*0)</f>
        <v>0</v>
      </c>
      <c r="O51" s="109">
        <f t="shared" si="6"/>
        <v>1</v>
      </c>
      <c r="P51" s="40">
        <f>+((40%/1)*0)</f>
        <v>0</v>
      </c>
      <c r="Q51" s="140">
        <f>+((40%/1)*0)</f>
        <v>0</v>
      </c>
      <c r="R51" s="109">
        <f t="shared" si="7"/>
        <v>1</v>
      </c>
      <c r="S51" s="108">
        <f>+((40%/1)*1)</f>
        <v>0.4</v>
      </c>
      <c r="T51" s="40">
        <f>+((40%/1)*0)</f>
        <v>0</v>
      </c>
      <c r="U51" s="109">
        <f t="shared" si="8"/>
        <v>0</v>
      </c>
      <c r="V51" s="559"/>
      <c r="W51" s="559"/>
      <c r="X51" s="558"/>
      <c r="Y51" s="119" t="s">
        <v>116</v>
      </c>
      <c r="AE51" s="7"/>
      <c r="AF51" s="7"/>
      <c r="AG51" s="7"/>
      <c r="AH51" s="7"/>
      <c r="AI51" s="7"/>
      <c r="AJ51" s="7"/>
      <c r="AK51" s="7"/>
      <c r="AL51" s="7"/>
    </row>
    <row r="52" spans="1:52" ht="42.6" hidden="1" customHeight="1" outlineLevel="1" x14ac:dyDescent="0.25">
      <c r="A52" s="568" t="s">
        <v>120</v>
      </c>
      <c r="B52" s="137" t="s">
        <v>81</v>
      </c>
      <c r="C52" s="569">
        <v>44196</v>
      </c>
      <c r="D52" s="125" t="s">
        <v>121</v>
      </c>
      <c r="E52" s="137" t="s">
        <v>81</v>
      </c>
      <c r="F52" s="138">
        <v>0.5</v>
      </c>
      <c r="G52" s="137"/>
      <c r="H52" s="137"/>
      <c r="I52" s="137"/>
      <c r="J52" s="137" t="s">
        <v>48</v>
      </c>
      <c r="K52" s="570">
        <v>10000000</v>
      </c>
      <c r="L52" s="568" t="s">
        <v>49</v>
      </c>
      <c r="M52" s="140">
        <f>+((50%/1)*0)</f>
        <v>0</v>
      </c>
      <c r="N52" s="140">
        <f>+((50%/1)*0)</f>
        <v>0</v>
      </c>
      <c r="O52" s="141">
        <f t="shared" si="6"/>
        <v>1</v>
      </c>
      <c r="P52" s="140">
        <f>+((50%/1)*0)</f>
        <v>0</v>
      </c>
      <c r="Q52" s="140">
        <f>+((50%/2)*0)</f>
        <v>0</v>
      </c>
      <c r="R52" s="109">
        <f t="shared" si="7"/>
        <v>1</v>
      </c>
      <c r="S52" s="108">
        <f>+((50%/1)*1)</f>
        <v>0.5</v>
      </c>
      <c r="T52" s="40">
        <f>+((50%/1)*0)</f>
        <v>0</v>
      </c>
      <c r="U52" s="109">
        <f t="shared" si="8"/>
        <v>0</v>
      </c>
      <c r="V52" s="558">
        <f>SUM(M52:M53)+SUM(P52:P53)+SUM(S52:S53)</f>
        <v>1</v>
      </c>
      <c r="W52" s="558">
        <f>+SUM(N52:N53)+SUM(Q52:Q53)+SUM(T52:T53)</f>
        <v>0.25</v>
      </c>
      <c r="X52" s="558">
        <f>W52/V52</f>
        <v>0.25</v>
      </c>
      <c r="Y52" s="119" t="s">
        <v>122</v>
      </c>
      <c r="AE52" s="7"/>
      <c r="AF52" s="7"/>
      <c r="AG52" s="7"/>
      <c r="AH52" s="7"/>
      <c r="AI52" s="7"/>
      <c r="AJ52" s="7"/>
      <c r="AK52" s="7"/>
      <c r="AL52" s="7"/>
    </row>
    <row r="53" spans="1:52" ht="46.15" hidden="1" customHeight="1" outlineLevel="1" x14ac:dyDescent="0.25">
      <c r="A53" s="568"/>
      <c r="B53" s="137" t="s">
        <v>123</v>
      </c>
      <c r="C53" s="569"/>
      <c r="D53" s="125" t="s">
        <v>124</v>
      </c>
      <c r="E53" s="137" t="s">
        <v>123</v>
      </c>
      <c r="F53" s="138">
        <v>0.5</v>
      </c>
      <c r="G53" s="137"/>
      <c r="H53" s="137" t="s">
        <v>48</v>
      </c>
      <c r="I53" s="137"/>
      <c r="J53" s="137" t="s">
        <v>48</v>
      </c>
      <c r="K53" s="570"/>
      <c r="L53" s="568"/>
      <c r="M53" s="40">
        <f>+((50%/1)*0)</f>
        <v>0</v>
      </c>
      <c r="N53" s="40">
        <f>+((50%/1)*0)</f>
        <v>0</v>
      </c>
      <c r="O53" s="109">
        <f t="shared" si="6"/>
        <v>1</v>
      </c>
      <c r="P53" s="108">
        <f>+((50%/2)*1)</f>
        <v>0.25</v>
      </c>
      <c r="Q53" s="140">
        <f>+((50%/2)*1)</f>
        <v>0.25</v>
      </c>
      <c r="R53" s="109">
        <f t="shared" si="7"/>
        <v>1</v>
      </c>
      <c r="S53" s="108">
        <f>+((50%/2)*1)</f>
        <v>0.25</v>
      </c>
      <c r="T53" s="40">
        <f>+((50%/2)*0)</f>
        <v>0</v>
      </c>
      <c r="U53" s="109">
        <f t="shared" si="8"/>
        <v>0</v>
      </c>
      <c r="V53" s="559"/>
      <c r="W53" s="559"/>
      <c r="X53" s="558"/>
      <c r="Y53" s="119" t="s">
        <v>125</v>
      </c>
      <c r="AE53" s="7"/>
      <c r="AF53" s="7"/>
      <c r="AG53" s="7"/>
      <c r="AH53" s="7"/>
      <c r="AI53" s="7"/>
      <c r="AJ53" s="7"/>
      <c r="AK53" s="7"/>
      <c r="AL53" s="7"/>
    </row>
    <row r="54" spans="1:52" ht="51" hidden="1" outlineLevel="1" x14ac:dyDescent="0.25">
      <c r="A54" s="568" t="s">
        <v>126</v>
      </c>
      <c r="B54" s="568" t="s">
        <v>127</v>
      </c>
      <c r="C54" s="569" t="s">
        <v>128</v>
      </c>
      <c r="D54" s="125" t="s">
        <v>129</v>
      </c>
      <c r="E54" s="137" t="s">
        <v>127</v>
      </c>
      <c r="F54" s="138">
        <v>0.3</v>
      </c>
      <c r="G54" s="137" t="s">
        <v>48</v>
      </c>
      <c r="H54" s="137"/>
      <c r="I54" s="137"/>
      <c r="J54" s="137"/>
      <c r="K54" s="570">
        <v>12500000</v>
      </c>
      <c r="L54" s="571" t="s">
        <v>49</v>
      </c>
      <c r="M54" s="108">
        <f>+((30%/1)*1)</f>
        <v>0.3</v>
      </c>
      <c r="N54" s="40">
        <f>+((30%/1)*1)</f>
        <v>0.3</v>
      </c>
      <c r="O54" s="109">
        <f t="shared" si="6"/>
        <v>1</v>
      </c>
      <c r="P54" s="40">
        <f>+((30%/1)*0)</f>
        <v>0</v>
      </c>
      <c r="Q54" s="140">
        <f>+((30%/1)*0)</f>
        <v>0</v>
      </c>
      <c r="R54" s="109">
        <f t="shared" si="7"/>
        <v>1</v>
      </c>
      <c r="S54" s="40">
        <f>+((30%/1)*0)</f>
        <v>0</v>
      </c>
      <c r="T54" s="40">
        <f>+((30%/1)*0)</f>
        <v>0</v>
      </c>
      <c r="U54" s="109">
        <f t="shared" si="8"/>
        <v>1</v>
      </c>
      <c r="V54" s="558">
        <f>SUM(M54:M56)+SUM(P54:P56)+SUM(S54:S56)</f>
        <v>1</v>
      </c>
      <c r="W54" s="558">
        <f>+SUM(N54:N56)+SUM(Q54:Q56)+SUM(T54:T56)</f>
        <v>0.8</v>
      </c>
      <c r="X54" s="558">
        <f>W54/V54</f>
        <v>0.8</v>
      </c>
      <c r="Y54" s="110" t="s">
        <v>130</v>
      </c>
    </row>
    <row r="55" spans="1:52" ht="51" hidden="1" outlineLevel="1" x14ac:dyDescent="0.25">
      <c r="A55" s="568"/>
      <c r="B55" s="568"/>
      <c r="C55" s="568"/>
      <c r="D55" s="125" t="s">
        <v>131</v>
      </c>
      <c r="E55" s="137" t="s">
        <v>127</v>
      </c>
      <c r="F55" s="138">
        <v>0.3</v>
      </c>
      <c r="G55" s="137"/>
      <c r="H55" s="137" t="s">
        <v>48</v>
      </c>
      <c r="I55" s="137"/>
      <c r="J55" s="137"/>
      <c r="K55" s="570"/>
      <c r="L55" s="571"/>
      <c r="M55" s="40">
        <f>+((30%/1)*0)</f>
        <v>0</v>
      </c>
      <c r="N55" s="40">
        <f>+((30%/1)*0)</f>
        <v>0</v>
      </c>
      <c r="O55" s="109">
        <f t="shared" si="6"/>
        <v>1</v>
      </c>
      <c r="P55" s="108">
        <f>+((30%/1)*1)</f>
        <v>0.3</v>
      </c>
      <c r="Q55" s="140">
        <f>+((30%/1)*1)</f>
        <v>0.3</v>
      </c>
      <c r="R55" s="109">
        <f t="shared" si="7"/>
        <v>1</v>
      </c>
      <c r="S55" s="40">
        <f>+((30%/1)*0)</f>
        <v>0</v>
      </c>
      <c r="T55" s="40">
        <f>+((30%/1)*0)</f>
        <v>0</v>
      </c>
      <c r="U55" s="109">
        <f t="shared" si="8"/>
        <v>1</v>
      </c>
      <c r="V55" s="559"/>
      <c r="W55" s="559"/>
      <c r="X55" s="558"/>
      <c r="Y55" s="110" t="s">
        <v>132</v>
      </c>
    </row>
    <row r="56" spans="1:52" ht="51" hidden="1" outlineLevel="1" x14ac:dyDescent="0.25">
      <c r="A56" s="568"/>
      <c r="B56" s="568"/>
      <c r="C56" s="568"/>
      <c r="D56" s="125" t="s">
        <v>133</v>
      </c>
      <c r="E56" s="137" t="s">
        <v>127</v>
      </c>
      <c r="F56" s="138">
        <v>0.4</v>
      </c>
      <c r="G56" s="137"/>
      <c r="H56" s="137" t="s">
        <v>48</v>
      </c>
      <c r="I56" s="137" t="s">
        <v>48</v>
      </c>
      <c r="J56" s="137" t="s">
        <v>48</v>
      </c>
      <c r="K56" s="570"/>
      <c r="L56" s="571"/>
      <c r="M56" s="40">
        <f>+((40%/1)*0)</f>
        <v>0</v>
      </c>
      <c r="N56" s="40">
        <f>+((40%/1)*0)</f>
        <v>0</v>
      </c>
      <c r="O56" s="109">
        <f t="shared" si="6"/>
        <v>1</v>
      </c>
      <c r="P56" s="108">
        <f>+((40%/2)*1)</f>
        <v>0.2</v>
      </c>
      <c r="Q56" s="140">
        <f>+((40%/2)*1)</f>
        <v>0.2</v>
      </c>
      <c r="R56" s="109">
        <f t="shared" si="7"/>
        <v>1</v>
      </c>
      <c r="S56" s="108">
        <f>+((40%/2)*1)</f>
        <v>0.2</v>
      </c>
      <c r="T56" s="40">
        <f>+((40%/1)*0)</f>
        <v>0</v>
      </c>
      <c r="U56" s="109">
        <f t="shared" si="8"/>
        <v>0</v>
      </c>
      <c r="V56" s="559"/>
      <c r="W56" s="559"/>
      <c r="X56" s="558"/>
      <c r="Y56" s="110" t="s">
        <v>134</v>
      </c>
    </row>
    <row r="57" spans="1:52" ht="86.45" hidden="1" customHeight="1" outlineLevel="1" x14ac:dyDescent="0.25">
      <c r="A57" s="568" t="s">
        <v>135</v>
      </c>
      <c r="B57" s="568" t="s">
        <v>136</v>
      </c>
      <c r="C57" s="569">
        <v>44196</v>
      </c>
      <c r="D57" s="120" t="s">
        <v>137</v>
      </c>
      <c r="E57" s="137" t="s">
        <v>138</v>
      </c>
      <c r="F57" s="138">
        <v>0.3</v>
      </c>
      <c r="G57" s="137" t="s">
        <v>48</v>
      </c>
      <c r="H57" s="137" t="s">
        <v>48</v>
      </c>
      <c r="I57" s="137" t="s">
        <v>48</v>
      </c>
      <c r="J57" s="137" t="s">
        <v>48</v>
      </c>
      <c r="K57" s="570">
        <v>10000000</v>
      </c>
      <c r="L57" s="568" t="s">
        <v>49</v>
      </c>
      <c r="M57" s="108">
        <f>+((30%/3)*1)</f>
        <v>9.9999999999999992E-2</v>
      </c>
      <c r="N57" s="40">
        <f>+((30%/3)*1)</f>
        <v>9.9999999999999992E-2</v>
      </c>
      <c r="O57" s="109">
        <f t="shared" si="6"/>
        <v>1</v>
      </c>
      <c r="P57" s="108">
        <f>+((30%/3)*1)</f>
        <v>9.9999999999999992E-2</v>
      </c>
      <c r="Q57" s="140">
        <f>+((30%/3)*1)</f>
        <v>9.9999999999999992E-2</v>
      </c>
      <c r="R57" s="109">
        <f t="shared" si="7"/>
        <v>1</v>
      </c>
      <c r="S57" s="108">
        <f>+((30%/3)*1)</f>
        <v>9.9999999999999992E-2</v>
      </c>
      <c r="T57" s="40">
        <f>+((30%/3)*0)</f>
        <v>0</v>
      </c>
      <c r="U57" s="109">
        <f t="shared" si="8"/>
        <v>0</v>
      </c>
      <c r="V57" s="558">
        <f>SUM(M57:M59)+SUM(P57:P59)+SUM(S57:S59)</f>
        <v>1</v>
      </c>
      <c r="W57" s="558">
        <f>+SUM(N57:N59)+SUM(Q57:Q59)+SUM(T57:T59)</f>
        <v>0.37499999999999994</v>
      </c>
      <c r="X57" s="558">
        <f>W57/V57</f>
        <v>0.37499999999999994</v>
      </c>
      <c r="Y57" s="119" t="s">
        <v>139</v>
      </c>
    </row>
    <row r="58" spans="1:52" ht="77.25" hidden="1" customHeight="1" outlineLevel="1" x14ac:dyDescent="0.25">
      <c r="A58" s="568"/>
      <c r="B58" s="568"/>
      <c r="C58" s="569"/>
      <c r="D58" s="120" t="s">
        <v>140</v>
      </c>
      <c r="E58" s="137" t="s">
        <v>141</v>
      </c>
      <c r="F58" s="138">
        <v>0.35</v>
      </c>
      <c r="G58" s="137"/>
      <c r="H58" s="137" t="s">
        <v>48</v>
      </c>
      <c r="I58" s="137"/>
      <c r="J58" s="137" t="s">
        <v>48</v>
      </c>
      <c r="K58" s="570"/>
      <c r="L58" s="568"/>
      <c r="M58" s="40">
        <f>+((35%/1)*0)</f>
        <v>0</v>
      </c>
      <c r="N58" s="40">
        <f>+((35%/1)*0)</f>
        <v>0</v>
      </c>
      <c r="O58" s="109">
        <f t="shared" si="6"/>
        <v>1</v>
      </c>
      <c r="P58" s="108">
        <f>+((35%/2)*1)</f>
        <v>0.17499999999999999</v>
      </c>
      <c r="Q58" s="140">
        <f>+((35%/2)*1)</f>
        <v>0.17499999999999999</v>
      </c>
      <c r="R58" s="109">
        <f t="shared" si="7"/>
        <v>1</v>
      </c>
      <c r="S58" s="108">
        <f>+((35%/2)*1)</f>
        <v>0.17499999999999999</v>
      </c>
      <c r="T58" s="40">
        <f>+((35%/1)*0)</f>
        <v>0</v>
      </c>
      <c r="U58" s="109">
        <f t="shared" si="8"/>
        <v>0</v>
      </c>
      <c r="V58" s="559"/>
      <c r="W58" s="559"/>
      <c r="X58" s="558"/>
      <c r="Y58" s="110" t="s">
        <v>465</v>
      </c>
    </row>
    <row r="59" spans="1:52" ht="76.5" hidden="1" outlineLevel="1" x14ac:dyDescent="0.25">
      <c r="A59" s="568"/>
      <c r="B59" s="568"/>
      <c r="C59" s="569"/>
      <c r="D59" s="125" t="s">
        <v>142</v>
      </c>
      <c r="E59" s="137" t="s">
        <v>138</v>
      </c>
      <c r="F59" s="138">
        <v>0.35</v>
      </c>
      <c r="G59" s="137"/>
      <c r="H59" s="137"/>
      <c r="I59" s="137"/>
      <c r="J59" s="137" t="s">
        <v>48</v>
      </c>
      <c r="K59" s="570"/>
      <c r="L59" s="568"/>
      <c r="M59" s="40">
        <f>+((35%/1)*0)</f>
        <v>0</v>
      </c>
      <c r="N59" s="40">
        <f>+((35%/1)*0)</f>
        <v>0</v>
      </c>
      <c r="O59" s="109">
        <f t="shared" si="6"/>
        <v>1</v>
      </c>
      <c r="P59" s="40">
        <f>+((35%/1)*0)</f>
        <v>0</v>
      </c>
      <c r="Q59" s="140">
        <f>+((35%/1)*0)</f>
        <v>0</v>
      </c>
      <c r="R59" s="109">
        <f t="shared" si="7"/>
        <v>1</v>
      </c>
      <c r="S59" s="108">
        <f>+((35%/1)*1)</f>
        <v>0.35</v>
      </c>
      <c r="T59" s="40">
        <f>+((35%/1)*0)</f>
        <v>0</v>
      </c>
      <c r="U59" s="109">
        <f t="shared" si="8"/>
        <v>0</v>
      </c>
      <c r="V59" s="559"/>
      <c r="W59" s="559"/>
      <c r="X59" s="558"/>
      <c r="Y59" s="110" t="s">
        <v>143</v>
      </c>
    </row>
    <row r="60" spans="1:52" ht="72" hidden="1" customHeight="1" outlineLevel="1" x14ac:dyDescent="0.25">
      <c r="A60" s="568" t="s">
        <v>144</v>
      </c>
      <c r="B60" s="137" t="s">
        <v>145</v>
      </c>
      <c r="C60" s="569">
        <v>44196</v>
      </c>
      <c r="D60" s="125" t="s">
        <v>146</v>
      </c>
      <c r="E60" s="106" t="s">
        <v>147</v>
      </c>
      <c r="F60" s="138">
        <v>0.4</v>
      </c>
      <c r="G60" s="137"/>
      <c r="H60" s="139"/>
      <c r="I60" s="139"/>
      <c r="J60" s="137" t="s">
        <v>48</v>
      </c>
      <c r="K60" s="570">
        <v>8000000</v>
      </c>
      <c r="L60" s="568" t="s">
        <v>49</v>
      </c>
      <c r="M60" s="40">
        <f>+((40%/1)*0)</f>
        <v>0</v>
      </c>
      <c r="N60" s="40">
        <f>+((40%/1)*0)</f>
        <v>0</v>
      </c>
      <c r="O60" s="109">
        <f t="shared" si="6"/>
        <v>1</v>
      </c>
      <c r="P60" s="40">
        <f>+((40%/1)*0)</f>
        <v>0</v>
      </c>
      <c r="Q60" s="140">
        <f>+((40%/1)*0)</f>
        <v>0</v>
      </c>
      <c r="R60" s="109">
        <f t="shared" si="7"/>
        <v>1</v>
      </c>
      <c r="S60" s="108">
        <f>+((40%/1)*1)</f>
        <v>0.4</v>
      </c>
      <c r="T60" s="40">
        <f>+((40%/1)*0)</f>
        <v>0</v>
      </c>
      <c r="U60" s="109">
        <f t="shared" si="8"/>
        <v>0</v>
      </c>
      <c r="V60" s="558">
        <f>SUM(M60:M62)+SUM(P60:P62)+SUM(S60:S62)</f>
        <v>1</v>
      </c>
      <c r="W60" s="558">
        <f>+SUM(N60:N62)+SUM(Q60:Q62)+SUM(T60:T62)</f>
        <v>0.26666666666666666</v>
      </c>
      <c r="X60" s="558">
        <f>W60/V60</f>
        <v>0.26666666666666666</v>
      </c>
      <c r="Y60" s="110" t="s">
        <v>143</v>
      </c>
    </row>
    <row r="61" spans="1:52" ht="57.75" hidden="1" customHeight="1" outlineLevel="1" x14ac:dyDescent="0.25">
      <c r="A61" s="568"/>
      <c r="B61" s="137" t="s">
        <v>148</v>
      </c>
      <c r="C61" s="569"/>
      <c r="D61" s="125" t="s">
        <v>149</v>
      </c>
      <c r="E61" s="106" t="s">
        <v>141</v>
      </c>
      <c r="F61" s="138">
        <v>0.2</v>
      </c>
      <c r="G61" s="137"/>
      <c r="H61" s="137" t="s">
        <v>48</v>
      </c>
      <c r="I61" s="137"/>
      <c r="J61" s="137" t="s">
        <v>48</v>
      </c>
      <c r="K61" s="570"/>
      <c r="L61" s="568"/>
      <c r="M61" s="40">
        <f>+((20%/1)*0)</f>
        <v>0</v>
      </c>
      <c r="N61" s="40">
        <f>+((20%/1)*0)</f>
        <v>0</v>
      </c>
      <c r="O61" s="109">
        <f t="shared" si="6"/>
        <v>1</v>
      </c>
      <c r="P61" s="108">
        <f>+((20%/2)*1)</f>
        <v>0.1</v>
      </c>
      <c r="Q61" s="140">
        <f>+((20%/1)*0)</f>
        <v>0</v>
      </c>
      <c r="R61" s="109">
        <f t="shared" si="7"/>
        <v>0</v>
      </c>
      <c r="S61" s="108">
        <f>+((20%/2)*1)</f>
        <v>0.1</v>
      </c>
      <c r="T61" s="40">
        <f>+((20%/1)*0)</f>
        <v>0</v>
      </c>
      <c r="U61" s="109">
        <f t="shared" si="8"/>
        <v>0</v>
      </c>
      <c r="V61" s="559"/>
      <c r="W61" s="559"/>
      <c r="X61" s="558"/>
      <c r="Y61" s="142" t="s">
        <v>150</v>
      </c>
    </row>
    <row r="62" spans="1:52" ht="84.6" hidden="1" customHeight="1" outlineLevel="1" x14ac:dyDescent="0.25">
      <c r="A62" s="568"/>
      <c r="B62" s="137" t="s">
        <v>81</v>
      </c>
      <c r="C62" s="569"/>
      <c r="D62" s="120" t="s">
        <v>151</v>
      </c>
      <c r="E62" s="137" t="s">
        <v>81</v>
      </c>
      <c r="F62" s="138">
        <v>0.4</v>
      </c>
      <c r="G62" s="137" t="s">
        <v>48</v>
      </c>
      <c r="H62" s="137" t="s">
        <v>48</v>
      </c>
      <c r="I62" s="137" t="s">
        <v>48</v>
      </c>
      <c r="J62" s="137" t="s">
        <v>48</v>
      </c>
      <c r="K62" s="570"/>
      <c r="L62" s="568"/>
      <c r="M62" s="108">
        <f>+((40%/3)*1)</f>
        <v>0.13333333333333333</v>
      </c>
      <c r="N62" s="40">
        <f>+((40%/3)*1)</f>
        <v>0.13333333333333333</v>
      </c>
      <c r="O62" s="109">
        <f t="shared" si="6"/>
        <v>1</v>
      </c>
      <c r="P62" s="108">
        <f>+((40%/3)*1)</f>
        <v>0.13333333333333333</v>
      </c>
      <c r="Q62" s="140">
        <f>+((40%/3)*1)</f>
        <v>0.13333333333333333</v>
      </c>
      <c r="R62" s="109">
        <f t="shared" si="7"/>
        <v>1</v>
      </c>
      <c r="S62" s="108">
        <f>+((40%/3)*1)</f>
        <v>0.13333333333333333</v>
      </c>
      <c r="T62" s="40">
        <f>+((40%/3)*0)</f>
        <v>0</v>
      </c>
      <c r="U62" s="109">
        <f t="shared" si="8"/>
        <v>0</v>
      </c>
      <c r="V62" s="559"/>
      <c r="W62" s="559"/>
      <c r="X62" s="558"/>
      <c r="Y62" s="110" t="s">
        <v>152</v>
      </c>
    </row>
    <row r="63" spans="1:52" collapsed="1" x14ac:dyDescent="0.25">
      <c r="A63" s="88"/>
      <c r="B63" s="88"/>
      <c r="C63" s="89"/>
      <c r="D63" s="90"/>
      <c r="E63" s="88"/>
      <c r="F63" s="91"/>
      <c r="G63" s="88"/>
      <c r="H63" s="88"/>
      <c r="I63" s="88"/>
      <c r="J63" s="88"/>
      <c r="K63" s="92"/>
      <c r="L63" s="92"/>
      <c r="M63" s="86">
        <f>SUM(M49:M62)/5</f>
        <v>0.10666666666666666</v>
      </c>
      <c r="N63" s="86">
        <f>SUM(N49:N62)/5</f>
        <v>0.10666666666666666</v>
      </c>
      <c r="P63" s="86">
        <f>SUM(P49:P62)/5</f>
        <v>0.25166666666666665</v>
      </c>
      <c r="Q63" s="86">
        <f>SUM(Q49:Q62)/5</f>
        <v>0.23166666666666663</v>
      </c>
      <c r="S63" s="86">
        <f>SUM(S49:S62)/5</f>
        <v>0.64166666666666661</v>
      </c>
      <c r="T63" s="86">
        <f>SUM(T49:T62)/5</f>
        <v>0</v>
      </c>
      <c r="U63" s="143" t="s">
        <v>111</v>
      </c>
      <c r="V63" s="84">
        <f>SUM(V49:V62)/5</f>
        <v>1</v>
      </c>
      <c r="W63" s="84">
        <f>SUM(W49:W62)/5</f>
        <v>0.33833333333333332</v>
      </c>
      <c r="X63" s="144">
        <f>SUM(X49:X62)/5</f>
        <v>0.33833333333333332</v>
      </c>
    </row>
    <row r="64" spans="1:52" x14ac:dyDescent="0.25">
      <c r="A64" s="145"/>
      <c r="B64" s="146"/>
      <c r="C64" s="147"/>
      <c r="D64" s="148"/>
      <c r="E64" s="145"/>
      <c r="F64" s="149"/>
      <c r="G64" s="145"/>
      <c r="H64" s="145"/>
      <c r="I64" s="145"/>
      <c r="J64" s="145"/>
      <c r="K64" s="150"/>
      <c r="L64" s="150"/>
    </row>
    <row r="65" spans="1:25" ht="18" customHeight="1" x14ac:dyDescent="0.25">
      <c r="A65" s="500" t="s">
        <v>153</v>
      </c>
      <c r="B65" s="500"/>
      <c r="C65" s="501" t="s">
        <v>154</v>
      </c>
      <c r="D65" s="501"/>
      <c r="E65" s="501"/>
      <c r="F65" s="501"/>
      <c r="G65" s="501"/>
      <c r="H65" s="501"/>
      <c r="I65" s="501"/>
      <c r="J65" s="501"/>
      <c r="K65" s="501"/>
      <c r="L65" s="501"/>
    </row>
    <row r="66" spans="1:25" s="7" customFormat="1" ht="38.25" customHeight="1" x14ac:dyDescent="0.25">
      <c r="A66" s="550" t="s">
        <v>15</v>
      </c>
      <c r="B66" s="94" t="s">
        <v>16</v>
      </c>
      <c r="C66" s="94" t="s">
        <v>17</v>
      </c>
      <c r="D66" s="95" t="s">
        <v>18</v>
      </c>
      <c r="E66" s="96" t="s">
        <v>16</v>
      </c>
      <c r="F66" s="97" t="s">
        <v>19</v>
      </c>
      <c r="G66" s="551" t="s">
        <v>20</v>
      </c>
      <c r="H66" s="551"/>
      <c r="I66" s="551"/>
      <c r="J66" s="551"/>
      <c r="K66" s="98" t="s">
        <v>21</v>
      </c>
      <c r="L66" s="552" t="s">
        <v>22</v>
      </c>
      <c r="M66" s="560" t="s">
        <v>23</v>
      </c>
      <c r="N66" s="561"/>
      <c r="O66" s="561"/>
      <c r="P66" s="561"/>
      <c r="Q66" s="561"/>
      <c r="R66" s="561"/>
      <c r="S66" s="561"/>
      <c r="T66" s="561"/>
      <c r="U66" s="561"/>
      <c r="V66" s="561"/>
      <c r="W66" s="561"/>
      <c r="X66" s="561"/>
      <c r="Y66" s="561"/>
    </row>
    <row r="67" spans="1:25" s="7" customFormat="1" ht="48" x14ac:dyDescent="0.25">
      <c r="A67" s="525"/>
      <c r="B67" s="12" t="s">
        <v>24</v>
      </c>
      <c r="C67" s="13" t="s">
        <v>25</v>
      </c>
      <c r="D67" s="151" t="s">
        <v>26</v>
      </c>
      <c r="E67" s="152" t="s">
        <v>27</v>
      </c>
      <c r="F67" s="153"/>
      <c r="G67" s="152" t="s">
        <v>75</v>
      </c>
      <c r="H67" s="152" t="s">
        <v>29</v>
      </c>
      <c r="I67" s="152" t="s">
        <v>30</v>
      </c>
      <c r="J67" s="152" t="s">
        <v>31</v>
      </c>
      <c r="K67" s="16" t="s">
        <v>32</v>
      </c>
      <c r="L67" s="531"/>
      <c r="M67" s="22" t="s">
        <v>33</v>
      </c>
      <c r="N67" s="22" t="s">
        <v>34</v>
      </c>
      <c r="O67" s="22" t="s">
        <v>76</v>
      </c>
      <c r="P67" s="154" t="s">
        <v>36</v>
      </c>
      <c r="Q67" s="154" t="s">
        <v>37</v>
      </c>
      <c r="R67" s="154" t="s">
        <v>38</v>
      </c>
      <c r="S67" s="155" t="s">
        <v>39</v>
      </c>
      <c r="T67" s="155" t="s">
        <v>40</v>
      </c>
      <c r="U67" s="155" t="s">
        <v>38</v>
      </c>
      <c r="V67" s="22" t="s">
        <v>41</v>
      </c>
      <c r="W67" s="22" t="s">
        <v>42</v>
      </c>
      <c r="X67" s="22" t="s">
        <v>43</v>
      </c>
      <c r="Y67" s="23" t="s">
        <v>44</v>
      </c>
    </row>
    <row r="68" spans="1:25" ht="78" hidden="1" customHeight="1" outlineLevel="1" x14ac:dyDescent="0.25">
      <c r="A68" s="573" t="s">
        <v>155</v>
      </c>
      <c r="B68" s="576" t="s">
        <v>156</v>
      </c>
      <c r="C68" s="578">
        <v>44196</v>
      </c>
      <c r="D68" s="156" t="s">
        <v>157</v>
      </c>
      <c r="E68" s="157" t="s">
        <v>81</v>
      </c>
      <c r="F68" s="158">
        <v>0.4</v>
      </c>
      <c r="G68" s="159" t="s">
        <v>48</v>
      </c>
      <c r="H68" s="159" t="s">
        <v>48</v>
      </c>
      <c r="I68" s="159" t="s">
        <v>48</v>
      </c>
      <c r="J68" s="159" t="s">
        <v>48</v>
      </c>
      <c r="K68" s="580">
        <v>7000000</v>
      </c>
      <c r="L68" s="576" t="s">
        <v>49</v>
      </c>
      <c r="M68" s="160">
        <f>+((40%/3)*1)</f>
        <v>0.13333333333333333</v>
      </c>
      <c r="N68" s="29">
        <f>+((40%/3)*1)</f>
        <v>0.13333333333333333</v>
      </c>
      <c r="O68" s="161">
        <f t="shared" ref="O68:O76" si="9">IF(M68=N68,100%,N68/M68)</f>
        <v>1</v>
      </c>
      <c r="P68" s="160">
        <f>+((40%/3)*1)</f>
        <v>0.13333333333333333</v>
      </c>
      <c r="Q68" s="29">
        <f>+((40%/3)*1)</f>
        <v>0.13333333333333333</v>
      </c>
      <c r="R68" s="161">
        <f t="shared" ref="R68:R76" si="10">IF(P68=Q68,100%,Q68/P68)</f>
        <v>1</v>
      </c>
      <c r="S68" s="160">
        <f>+((40%/3)*1)</f>
        <v>0.13333333333333333</v>
      </c>
      <c r="T68" s="29">
        <f>+((40%/3)*0)</f>
        <v>0</v>
      </c>
      <c r="U68" s="161">
        <f t="shared" ref="U68:U76" si="11">IF(S68=T68,100%,T68/S68)</f>
        <v>0</v>
      </c>
      <c r="V68" s="548">
        <f>SUM(M68:M71)+SUM(P68:P71)+SUM(S68:S71)</f>
        <v>0.99999999999999989</v>
      </c>
      <c r="W68" s="548">
        <f>+SUM(N68:N71)+SUM(Q68:Q71)+SUM(T68:T71)</f>
        <v>0.74166666666666659</v>
      </c>
      <c r="X68" s="548">
        <f>W68/V68</f>
        <v>0.7416666666666667</v>
      </c>
      <c r="Y68" s="162" t="s">
        <v>158</v>
      </c>
    </row>
    <row r="69" spans="1:25" ht="83.25" hidden="1" customHeight="1" outlineLevel="1" x14ac:dyDescent="0.25">
      <c r="A69" s="574"/>
      <c r="B69" s="568"/>
      <c r="C69" s="568"/>
      <c r="D69" s="120" t="s">
        <v>159</v>
      </c>
      <c r="E69" s="123" t="s">
        <v>81</v>
      </c>
      <c r="F69" s="138">
        <v>0.15</v>
      </c>
      <c r="G69" s="137" t="s">
        <v>48</v>
      </c>
      <c r="H69" s="137" t="s">
        <v>48</v>
      </c>
      <c r="I69" s="137" t="s">
        <v>48</v>
      </c>
      <c r="J69" s="137" t="s">
        <v>48</v>
      </c>
      <c r="K69" s="570"/>
      <c r="L69" s="568"/>
      <c r="M69" s="108">
        <f>+((15%/3)*1)</f>
        <v>4.9999999999999996E-2</v>
      </c>
      <c r="N69" s="40">
        <f>+((15%/3)*1)</f>
        <v>4.9999999999999996E-2</v>
      </c>
      <c r="O69" s="109">
        <f t="shared" si="9"/>
        <v>1</v>
      </c>
      <c r="P69" s="108">
        <f>+((15%/3)*1)</f>
        <v>4.9999999999999996E-2</v>
      </c>
      <c r="Q69" s="40">
        <f>+((15%/3)*1)</f>
        <v>4.9999999999999996E-2</v>
      </c>
      <c r="R69" s="109">
        <f t="shared" si="10"/>
        <v>1</v>
      </c>
      <c r="S69" s="108">
        <f>+((15%/3)*1)</f>
        <v>4.9999999999999996E-2</v>
      </c>
      <c r="T69" s="40">
        <f>+((15%/3)*0)</f>
        <v>0</v>
      </c>
      <c r="U69" s="109">
        <f t="shared" si="11"/>
        <v>0</v>
      </c>
      <c r="V69" s="558"/>
      <c r="W69" s="558"/>
      <c r="X69" s="558"/>
      <c r="Y69" s="110" t="s">
        <v>160</v>
      </c>
    </row>
    <row r="70" spans="1:25" ht="38.25" hidden="1" outlineLevel="1" x14ac:dyDescent="0.25">
      <c r="A70" s="574"/>
      <c r="B70" s="568"/>
      <c r="C70" s="568"/>
      <c r="D70" s="120" t="s">
        <v>161</v>
      </c>
      <c r="E70" s="123" t="s">
        <v>46</v>
      </c>
      <c r="F70" s="138">
        <v>0.3</v>
      </c>
      <c r="G70" s="137"/>
      <c r="H70" s="137" t="s">
        <v>48</v>
      </c>
      <c r="I70" s="137"/>
      <c r="J70" s="137"/>
      <c r="K70" s="570"/>
      <c r="L70" s="568"/>
      <c r="M70" s="40">
        <f>+((30%/1)*0)</f>
        <v>0</v>
      </c>
      <c r="N70" s="40">
        <f>+((30%/1)*0)</f>
        <v>0</v>
      </c>
      <c r="O70" s="109">
        <f t="shared" si="9"/>
        <v>1</v>
      </c>
      <c r="P70" s="108">
        <f>+((30%/1)*1)</f>
        <v>0.3</v>
      </c>
      <c r="Q70" s="40">
        <f>+((30%/1)*1)</f>
        <v>0.3</v>
      </c>
      <c r="R70" s="109">
        <f t="shared" si="10"/>
        <v>1</v>
      </c>
      <c r="S70" s="40">
        <f>+((30%/1)*0)</f>
        <v>0</v>
      </c>
      <c r="T70" s="40">
        <f>+((30%/1)*0)</f>
        <v>0</v>
      </c>
      <c r="U70" s="109">
        <f t="shared" si="11"/>
        <v>1</v>
      </c>
      <c r="V70" s="558"/>
      <c r="W70" s="558"/>
      <c r="X70" s="558"/>
      <c r="Y70" s="110" t="s">
        <v>162</v>
      </c>
    </row>
    <row r="71" spans="1:25" ht="67.5" hidden="1" customHeight="1" outlineLevel="1" thickBot="1" x14ac:dyDescent="0.3">
      <c r="A71" s="575"/>
      <c r="B71" s="577"/>
      <c r="C71" s="577"/>
      <c r="D71" s="163" t="s">
        <v>163</v>
      </c>
      <c r="E71" s="164" t="s">
        <v>81</v>
      </c>
      <c r="F71" s="165">
        <v>0.15</v>
      </c>
      <c r="G71" s="166"/>
      <c r="H71" s="166" t="s">
        <v>48</v>
      </c>
      <c r="I71" s="166" t="s">
        <v>48</v>
      </c>
      <c r="J71" s="166" t="s">
        <v>48</v>
      </c>
      <c r="K71" s="581"/>
      <c r="L71" s="577"/>
      <c r="M71" s="51">
        <f>+((15%/3)*0)</f>
        <v>0</v>
      </c>
      <c r="N71" s="51">
        <f>+((15%/3)*0)</f>
        <v>0</v>
      </c>
      <c r="O71" s="167">
        <f t="shared" si="9"/>
        <v>1</v>
      </c>
      <c r="P71" s="168">
        <f>+((15%/2)*1)</f>
        <v>7.4999999999999997E-2</v>
      </c>
      <c r="Q71" s="51">
        <f>+((15%/2)*1)</f>
        <v>7.4999999999999997E-2</v>
      </c>
      <c r="R71" s="167">
        <f t="shared" si="10"/>
        <v>1</v>
      </c>
      <c r="S71" s="168">
        <f>+((15%/2)*1)</f>
        <v>7.4999999999999997E-2</v>
      </c>
      <c r="T71" s="51">
        <f>+((15%/3)*0)</f>
        <v>0</v>
      </c>
      <c r="U71" s="167">
        <f t="shared" si="11"/>
        <v>0</v>
      </c>
      <c r="V71" s="572"/>
      <c r="W71" s="572"/>
      <c r="X71" s="572"/>
      <c r="Y71" s="169" t="s">
        <v>164</v>
      </c>
    </row>
    <row r="72" spans="1:25" ht="68.25" hidden="1" customHeight="1" outlineLevel="1" x14ac:dyDescent="0.25">
      <c r="A72" s="573" t="s">
        <v>165</v>
      </c>
      <c r="B72" s="576" t="s">
        <v>166</v>
      </c>
      <c r="C72" s="578">
        <v>44196</v>
      </c>
      <c r="D72" s="156" t="s">
        <v>167</v>
      </c>
      <c r="E72" s="159" t="s">
        <v>168</v>
      </c>
      <c r="F72" s="158">
        <v>0.3</v>
      </c>
      <c r="G72" s="159" t="s">
        <v>48</v>
      </c>
      <c r="H72" s="159" t="s">
        <v>48</v>
      </c>
      <c r="I72" s="159" t="s">
        <v>48</v>
      </c>
      <c r="J72" s="159" t="s">
        <v>48</v>
      </c>
      <c r="K72" s="580">
        <v>8000000</v>
      </c>
      <c r="L72" s="576" t="s">
        <v>49</v>
      </c>
      <c r="M72" s="160">
        <f>+((30%/3)*1)</f>
        <v>9.9999999999999992E-2</v>
      </c>
      <c r="N72" s="29">
        <f>+((30%/3)*1)</f>
        <v>9.9999999999999992E-2</v>
      </c>
      <c r="O72" s="161">
        <f t="shared" si="9"/>
        <v>1</v>
      </c>
      <c r="P72" s="160">
        <f>+((30%/3)*1)</f>
        <v>9.9999999999999992E-2</v>
      </c>
      <c r="Q72" s="29">
        <f>+((30%/3)*1)</f>
        <v>9.9999999999999992E-2</v>
      </c>
      <c r="R72" s="161">
        <f t="shared" si="10"/>
        <v>1</v>
      </c>
      <c r="S72" s="160">
        <f>+((30%/3)*1)</f>
        <v>9.9999999999999992E-2</v>
      </c>
      <c r="T72" s="29">
        <f>+((30%/3)*0)</f>
        <v>0</v>
      </c>
      <c r="U72" s="161">
        <f t="shared" si="11"/>
        <v>0</v>
      </c>
      <c r="V72" s="582">
        <f>SUM(M72:M75)+SUM(P72:P75)+SUM(S72:S75)</f>
        <v>1</v>
      </c>
      <c r="W72" s="582">
        <f>+SUM(N72:N75)+SUM(Q72:Q75)+SUM(T72:T75)</f>
        <v>0.53333333333333333</v>
      </c>
      <c r="X72" s="548">
        <f>W72/V72</f>
        <v>0.53333333333333333</v>
      </c>
      <c r="Y72" s="162" t="s">
        <v>169</v>
      </c>
    </row>
    <row r="73" spans="1:25" ht="69.599999999999994" hidden="1" customHeight="1" outlineLevel="1" x14ac:dyDescent="0.25">
      <c r="A73" s="574"/>
      <c r="B73" s="568"/>
      <c r="C73" s="569"/>
      <c r="D73" s="125" t="s">
        <v>170</v>
      </c>
      <c r="E73" s="137" t="s">
        <v>171</v>
      </c>
      <c r="F73" s="138">
        <v>0.2</v>
      </c>
      <c r="G73" s="137" t="s">
        <v>48</v>
      </c>
      <c r="H73" s="137" t="s">
        <v>48</v>
      </c>
      <c r="I73" s="137" t="s">
        <v>48</v>
      </c>
      <c r="J73" s="137" t="s">
        <v>48</v>
      </c>
      <c r="K73" s="570"/>
      <c r="L73" s="568"/>
      <c r="M73" s="108">
        <f>+((20%/3)*1)</f>
        <v>6.6666666666666666E-2</v>
      </c>
      <c r="N73" s="40">
        <f>+((20%/3)*1)</f>
        <v>6.6666666666666666E-2</v>
      </c>
      <c r="O73" s="109">
        <f t="shared" si="9"/>
        <v>1</v>
      </c>
      <c r="P73" s="108">
        <f>+((20%/3)*1)</f>
        <v>6.6666666666666666E-2</v>
      </c>
      <c r="Q73" s="40">
        <f>+((20%/3)*1)</f>
        <v>6.6666666666666666E-2</v>
      </c>
      <c r="R73" s="109">
        <f t="shared" si="10"/>
        <v>1</v>
      </c>
      <c r="S73" s="108">
        <f>+((20%/3)*1)</f>
        <v>6.6666666666666666E-2</v>
      </c>
      <c r="T73" s="40">
        <f>+((20%/4)*0)</f>
        <v>0</v>
      </c>
      <c r="U73" s="109">
        <f t="shared" si="11"/>
        <v>0</v>
      </c>
      <c r="V73" s="583"/>
      <c r="W73" s="583"/>
      <c r="X73" s="558"/>
      <c r="Y73" s="170" t="s">
        <v>172</v>
      </c>
    </row>
    <row r="74" spans="1:25" ht="59.45" hidden="1" customHeight="1" outlineLevel="1" x14ac:dyDescent="0.25">
      <c r="A74" s="574"/>
      <c r="B74" s="568"/>
      <c r="C74" s="569"/>
      <c r="D74" s="125" t="s">
        <v>173</v>
      </c>
      <c r="E74" s="123" t="s">
        <v>174</v>
      </c>
      <c r="F74" s="138">
        <v>0.3</v>
      </c>
      <c r="G74" s="137" t="s">
        <v>48</v>
      </c>
      <c r="H74" s="137" t="s">
        <v>48</v>
      </c>
      <c r="I74" s="137" t="s">
        <v>48</v>
      </c>
      <c r="J74" s="137" t="s">
        <v>48</v>
      </c>
      <c r="K74" s="570"/>
      <c r="L74" s="568"/>
      <c r="M74" s="108">
        <f>+((30%/3)*1)</f>
        <v>9.9999999999999992E-2</v>
      </c>
      <c r="N74" s="40">
        <f>+((30%/3)*1)</f>
        <v>9.9999999999999992E-2</v>
      </c>
      <c r="O74" s="109">
        <f t="shared" si="9"/>
        <v>1</v>
      </c>
      <c r="P74" s="108">
        <f>+((30%/3)*1)</f>
        <v>9.9999999999999992E-2</v>
      </c>
      <c r="Q74" s="40">
        <f>+((30%/3)*1)</f>
        <v>9.9999999999999992E-2</v>
      </c>
      <c r="R74" s="109">
        <f t="shared" si="10"/>
        <v>1</v>
      </c>
      <c r="S74" s="108">
        <f>+((30%/3)*1)</f>
        <v>9.9999999999999992E-2</v>
      </c>
      <c r="T74" s="40">
        <f>+((30%/3)*0)</f>
        <v>0</v>
      </c>
      <c r="U74" s="109">
        <f t="shared" si="11"/>
        <v>0</v>
      </c>
      <c r="V74" s="583"/>
      <c r="W74" s="583"/>
      <c r="X74" s="558"/>
      <c r="Y74" s="119" t="s">
        <v>175</v>
      </c>
    </row>
    <row r="75" spans="1:25" ht="48.75" hidden="1" customHeight="1" outlineLevel="1" thickBot="1" x14ac:dyDescent="0.3">
      <c r="A75" s="575"/>
      <c r="B75" s="577"/>
      <c r="C75" s="579"/>
      <c r="D75" s="171" t="s">
        <v>176</v>
      </c>
      <c r="E75" s="166" t="s">
        <v>177</v>
      </c>
      <c r="F75" s="172">
        <v>0.2</v>
      </c>
      <c r="G75" s="173"/>
      <c r="H75" s="166"/>
      <c r="I75" s="166"/>
      <c r="J75" s="166" t="s">
        <v>48</v>
      </c>
      <c r="K75" s="581"/>
      <c r="L75" s="577"/>
      <c r="M75" s="51">
        <f>+((20%/1)*0)</f>
        <v>0</v>
      </c>
      <c r="N75" s="51">
        <f>+((20%/1)*0)</f>
        <v>0</v>
      </c>
      <c r="O75" s="167">
        <f t="shared" si="9"/>
        <v>1</v>
      </c>
      <c r="P75" s="51">
        <f>+((20%/1)*0)</f>
        <v>0</v>
      </c>
      <c r="Q75" s="51">
        <f>+((20%/1)*0)</f>
        <v>0</v>
      </c>
      <c r="R75" s="167">
        <f t="shared" si="10"/>
        <v>1</v>
      </c>
      <c r="S75" s="168">
        <f>+((20%/1)*1)</f>
        <v>0.2</v>
      </c>
      <c r="T75" s="51">
        <f>+((20%/1)*0)</f>
        <v>0</v>
      </c>
      <c r="U75" s="167">
        <f t="shared" si="11"/>
        <v>0</v>
      </c>
      <c r="V75" s="584"/>
      <c r="W75" s="584"/>
      <c r="X75" s="572"/>
      <c r="Y75" s="69" t="s">
        <v>178</v>
      </c>
    </row>
    <row r="76" spans="1:25" ht="72" hidden="1" customHeight="1" outlineLevel="1" thickBot="1" x14ac:dyDescent="0.3">
      <c r="A76" s="174" t="s">
        <v>179</v>
      </c>
      <c r="B76" s="175" t="s">
        <v>180</v>
      </c>
      <c r="C76" s="176">
        <v>44196</v>
      </c>
      <c r="D76" s="177" t="s">
        <v>181</v>
      </c>
      <c r="E76" s="175" t="s">
        <v>81</v>
      </c>
      <c r="F76" s="178">
        <v>1</v>
      </c>
      <c r="G76" s="175"/>
      <c r="H76" s="175" t="s">
        <v>48</v>
      </c>
      <c r="I76" s="175"/>
      <c r="J76" s="175"/>
      <c r="K76" s="179">
        <v>2000000</v>
      </c>
      <c r="L76" s="175" t="s">
        <v>49</v>
      </c>
      <c r="M76" s="180">
        <f>+((100%/1)*0)</f>
        <v>0</v>
      </c>
      <c r="N76" s="180">
        <f>+((100%/1)*0)</f>
        <v>0</v>
      </c>
      <c r="O76" s="181">
        <f t="shared" si="9"/>
        <v>1</v>
      </c>
      <c r="P76" s="182">
        <f>+((100%/1)*1)</f>
        <v>1</v>
      </c>
      <c r="Q76" s="180">
        <f>+((100%/1)*1)</f>
        <v>1</v>
      </c>
      <c r="R76" s="181">
        <f t="shared" si="10"/>
        <v>1</v>
      </c>
      <c r="S76" s="180">
        <f>+((100%/1)*0)</f>
        <v>0</v>
      </c>
      <c r="T76" s="180">
        <f>+((100%/1)*0)</f>
        <v>0</v>
      </c>
      <c r="U76" s="181">
        <f t="shared" si="11"/>
        <v>1</v>
      </c>
      <c r="V76" s="181">
        <f>M76+P76+S76</f>
        <v>1</v>
      </c>
      <c r="W76" s="183">
        <f>+N76+Q76+T76</f>
        <v>1</v>
      </c>
      <c r="X76" s="183">
        <f>W76/V76</f>
        <v>1</v>
      </c>
      <c r="Y76" s="184" t="s">
        <v>182</v>
      </c>
    </row>
    <row r="77" spans="1:25" collapsed="1" x14ac:dyDescent="0.25">
      <c r="A77" s="185"/>
      <c r="B77" s="185"/>
      <c r="C77" s="185"/>
      <c r="K77" s="189"/>
      <c r="L77" s="189"/>
      <c r="M77" s="86">
        <f>SUM(M68:M76)/3</f>
        <v>0.15</v>
      </c>
      <c r="N77" s="86">
        <f>SUM(N68:N76)/3</f>
        <v>0.15</v>
      </c>
      <c r="P77" s="86">
        <f>SUM(P68:P76)/3</f>
        <v>0.60833333333333328</v>
      </c>
      <c r="Q77" s="86">
        <f>SUM(Q68:Q76)/3</f>
        <v>0.60833333333333328</v>
      </c>
      <c r="S77" s="86">
        <f>SUM(S68:S76)/3</f>
        <v>0.24166666666666661</v>
      </c>
      <c r="U77" s="143" t="s">
        <v>111</v>
      </c>
      <c r="V77" s="84">
        <f>SUM(V68:V76)/3</f>
        <v>1</v>
      </c>
      <c r="W77" s="84">
        <f>SUM(W68:W76)/3</f>
        <v>0.7583333333333333</v>
      </c>
      <c r="X77" s="144">
        <f>SUM(X68:X76)/3</f>
        <v>0.7583333333333333</v>
      </c>
    </row>
    <row r="78" spans="1:25" x14ac:dyDescent="0.25">
      <c r="A78" s="185"/>
      <c r="B78" s="185"/>
      <c r="C78" s="185"/>
      <c r="K78" s="189"/>
      <c r="L78" s="189"/>
      <c r="U78" s="273"/>
      <c r="V78" s="269"/>
      <c r="W78" s="269"/>
      <c r="X78" s="274"/>
    </row>
    <row r="79" spans="1:25" ht="18" customHeight="1" x14ac:dyDescent="0.25">
      <c r="A79" s="500" t="s">
        <v>183</v>
      </c>
      <c r="B79" s="500"/>
      <c r="C79" s="501" t="s">
        <v>184</v>
      </c>
      <c r="D79" s="501"/>
      <c r="E79" s="501"/>
      <c r="F79" s="501"/>
      <c r="G79" s="501"/>
      <c r="H79" s="501"/>
      <c r="I79" s="501"/>
      <c r="J79" s="501"/>
      <c r="K79" s="190"/>
      <c r="L79" s="190"/>
    </row>
    <row r="80" spans="1:25" s="7" customFormat="1" ht="39" customHeight="1" thickBot="1" x14ac:dyDescent="0.3">
      <c r="A80" s="550" t="s">
        <v>15</v>
      </c>
      <c r="B80" s="94" t="s">
        <v>16</v>
      </c>
      <c r="C80" s="94" t="s">
        <v>17</v>
      </c>
      <c r="D80" s="95" t="s">
        <v>18</v>
      </c>
      <c r="E80" s="96" t="s">
        <v>16</v>
      </c>
      <c r="F80" s="97" t="s">
        <v>19</v>
      </c>
      <c r="G80" s="551" t="s">
        <v>20</v>
      </c>
      <c r="H80" s="551"/>
      <c r="I80" s="551"/>
      <c r="J80" s="551"/>
      <c r="K80" s="98" t="s">
        <v>21</v>
      </c>
      <c r="L80" s="98" t="s">
        <v>22</v>
      </c>
      <c r="M80" s="483" t="s">
        <v>23</v>
      </c>
      <c r="N80" s="484"/>
      <c r="O80" s="484"/>
      <c r="P80" s="484"/>
      <c r="Q80" s="484"/>
      <c r="R80" s="484"/>
      <c r="S80" s="484"/>
      <c r="T80" s="484"/>
      <c r="U80" s="484"/>
      <c r="V80" s="484"/>
      <c r="W80" s="484"/>
      <c r="X80" s="484"/>
      <c r="Y80" s="484"/>
    </row>
    <row r="81" spans="1:25" s="7" customFormat="1" ht="48" x14ac:dyDescent="0.25">
      <c r="A81" s="525"/>
      <c r="B81" s="12" t="s">
        <v>24</v>
      </c>
      <c r="C81" s="13" t="s">
        <v>25</v>
      </c>
      <c r="D81" s="151" t="s">
        <v>26</v>
      </c>
      <c r="E81" s="152" t="s">
        <v>27</v>
      </c>
      <c r="F81" s="153"/>
      <c r="G81" s="152" t="s">
        <v>75</v>
      </c>
      <c r="H81" s="152" t="s">
        <v>29</v>
      </c>
      <c r="I81" s="152" t="s">
        <v>30</v>
      </c>
      <c r="J81" s="152" t="s">
        <v>31</v>
      </c>
      <c r="K81" s="16" t="s">
        <v>32</v>
      </c>
      <c r="L81" s="16"/>
      <c r="M81" s="17" t="s">
        <v>33</v>
      </c>
      <c r="N81" s="18" t="s">
        <v>34</v>
      </c>
      <c r="O81" s="18" t="s">
        <v>35</v>
      </c>
      <c r="P81" s="19" t="s">
        <v>36</v>
      </c>
      <c r="Q81" s="19" t="s">
        <v>37</v>
      </c>
      <c r="R81" s="19" t="s">
        <v>38</v>
      </c>
      <c r="S81" s="20" t="s">
        <v>39</v>
      </c>
      <c r="T81" s="20" t="s">
        <v>40</v>
      </c>
      <c r="U81" s="21" t="s">
        <v>38</v>
      </c>
      <c r="V81" s="22" t="s">
        <v>41</v>
      </c>
      <c r="W81" s="22" t="s">
        <v>42</v>
      </c>
      <c r="X81" s="22" t="s">
        <v>43</v>
      </c>
      <c r="Y81" s="23" t="s">
        <v>44</v>
      </c>
    </row>
    <row r="82" spans="1:25" s="7" customFormat="1" ht="86.25" hidden="1" customHeight="1" outlineLevel="1" x14ac:dyDescent="0.25">
      <c r="A82" s="585" t="s">
        <v>185</v>
      </c>
      <c r="B82" s="588" t="s">
        <v>46</v>
      </c>
      <c r="C82" s="598">
        <v>44196</v>
      </c>
      <c r="D82" s="191" t="s">
        <v>186</v>
      </c>
      <c r="E82" s="157" t="s">
        <v>187</v>
      </c>
      <c r="F82" s="158">
        <v>0.5</v>
      </c>
      <c r="G82" s="192"/>
      <c r="H82" s="159"/>
      <c r="I82" s="159"/>
      <c r="J82" s="192" t="s">
        <v>48</v>
      </c>
      <c r="K82" s="193"/>
      <c r="L82" s="593" t="s">
        <v>49</v>
      </c>
      <c r="M82" s="29">
        <f>+((50%/1)*0)</f>
        <v>0</v>
      </c>
      <c r="N82" s="29">
        <f>+((50%/1)*0)</f>
        <v>0</v>
      </c>
      <c r="O82" s="161">
        <f t="shared" ref="O82:O88" si="12">IF(M82=N82,100%,N82/M82)</f>
        <v>1</v>
      </c>
      <c r="P82" s="194">
        <f>+((50%/1)*0)</f>
        <v>0</v>
      </c>
      <c r="Q82" s="29">
        <f>+((50%/1)*0)</f>
        <v>0</v>
      </c>
      <c r="R82" s="161">
        <f t="shared" ref="R82:R88" si="13">IF(P82=Q82,100%,Q82/P82)</f>
        <v>1</v>
      </c>
      <c r="S82" s="160">
        <f>+((50%/1)*1)</f>
        <v>0.5</v>
      </c>
      <c r="T82" s="29">
        <f>+((50%/1)*0)</f>
        <v>0</v>
      </c>
      <c r="U82" s="161">
        <f t="shared" ref="U82:U88" si="14">IF(S82=T82,100%,T82/S82)</f>
        <v>0</v>
      </c>
      <c r="V82" s="596">
        <f>SUM(M82:M83)+SUM(P82:P83)+SUM(S82:S83)</f>
        <v>1</v>
      </c>
      <c r="W82" s="548">
        <f>+SUM(N82:N83)+SUM(Q82:Q83)+SUM(T82:T83)</f>
        <v>0</v>
      </c>
      <c r="X82" s="548">
        <f>W82/V82</f>
        <v>0</v>
      </c>
      <c r="Y82" s="162" t="s">
        <v>188</v>
      </c>
    </row>
    <row r="83" spans="1:25" ht="81.75" hidden="1" customHeight="1" outlineLevel="1" thickBot="1" x14ac:dyDescent="0.3">
      <c r="A83" s="587"/>
      <c r="B83" s="589"/>
      <c r="C83" s="599"/>
      <c r="D83" s="195" t="s">
        <v>189</v>
      </c>
      <c r="E83" s="196" t="s">
        <v>187</v>
      </c>
      <c r="F83" s="172">
        <v>0.5</v>
      </c>
      <c r="G83" s="166"/>
      <c r="H83" s="166"/>
      <c r="I83" s="166"/>
      <c r="J83" s="166" t="s">
        <v>48</v>
      </c>
      <c r="K83" s="197">
        <v>2000000</v>
      </c>
      <c r="L83" s="595"/>
      <c r="M83" s="51">
        <f>+((50%/1)*0)</f>
        <v>0</v>
      </c>
      <c r="N83" s="51">
        <f>+((50%/1)*0)</f>
        <v>0</v>
      </c>
      <c r="O83" s="167">
        <f t="shared" si="12"/>
        <v>1</v>
      </c>
      <c r="P83" s="51">
        <f>+((50%/1)*0)</f>
        <v>0</v>
      </c>
      <c r="Q83" s="51">
        <f>+((50%/1)*0)</f>
        <v>0</v>
      </c>
      <c r="R83" s="167">
        <f t="shared" si="13"/>
        <v>1</v>
      </c>
      <c r="S83" s="168">
        <f>+((50%/1)*1)</f>
        <v>0.5</v>
      </c>
      <c r="T83" s="51">
        <f>+((50%/1)*0)</f>
        <v>0</v>
      </c>
      <c r="U83" s="167">
        <f t="shared" si="14"/>
        <v>0</v>
      </c>
      <c r="V83" s="597"/>
      <c r="W83" s="572"/>
      <c r="X83" s="572"/>
      <c r="Y83" s="69" t="s">
        <v>190</v>
      </c>
    </row>
    <row r="84" spans="1:25" ht="111" hidden="1" customHeight="1" outlineLevel="1" x14ac:dyDescent="0.25">
      <c r="A84" s="585" t="s">
        <v>191</v>
      </c>
      <c r="B84" s="588" t="s">
        <v>46</v>
      </c>
      <c r="C84" s="198">
        <v>44196</v>
      </c>
      <c r="D84" s="199" t="s">
        <v>192</v>
      </c>
      <c r="E84" s="200" t="s">
        <v>187</v>
      </c>
      <c r="F84" s="158">
        <v>0.2</v>
      </c>
      <c r="G84" s="159" t="s">
        <v>48</v>
      </c>
      <c r="H84" s="159"/>
      <c r="I84" s="159"/>
      <c r="J84" s="159"/>
      <c r="K84" s="590">
        <v>9000000</v>
      </c>
      <c r="L84" s="593" t="s">
        <v>49</v>
      </c>
      <c r="M84" s="160">
        <f>+((20%/1)*1)</f>
        <v>0.2</v>
      </c>
      <c r="N84" s="29">
        <f>+((20%/1)*1)</f>
        <v>0.2</v>
      </c>
      <c r="O84" s="161">
        <f t="shared" si="12"/>
        <v>1</v>
      </c>
      <c r="P84" s="29">
        <f>+((20%/1)*0)</f>
        <v>0</v>
      </c>
      <c r="Q84" s="29">
        <f>+((20%/1)*0)</f>
        <v>0</v>
      </c>
      <c r="R84" s="161">
        <f t="shared" si="13"/>
        <v>1</v>
      </c>
      <c r="S84" s="29">
        <f>+((20%/1)*0)</f>
        <v>0</v>
      </c>
      <c r="T84" s="29">
        <f>+((20%/1)*0)</f>
        <v>0</v>
      </c>
      <c r="U84" s="161">
        <f t="shared" si="14"/>
        <v>1</v>
      </c>
      <c r="V84" s="596">
        <f>SUM(M84:M88)+SUM(P84:P88)+SUM(S84:S88)</f>
        <v>1</v>
      </c>
      <c r="W84" s="548">
        <f>SUM(N84:N88)+SUM(Q84:Q88)+SUM(T84:T88)</f>
        <v>0.6</v>
      </c>
      <c r="X84" s="548">
        <f>W84/V84</f>
        <v>0.6</v>
      </c>
      <c r="Y84" s="162" t="s">
        <v>193</v>
      </c>
    </row>
    <row r="85" spans="1:25" ht="179.45" hidden="1" customHeight="1" outlineLevel="1" x14ac:dyDescent="0.25">
      <c r="A85" s="586"/>
      <c r="B85" s="554"/>
      <c r="C85" s="201">
        <v>44196</v>
      </c>
      <c r="D85" s="105" t="s">
        <v>194</v>
      </c>
      <c r="E85" s="106" t="s">
        <v>187</v>
      </c>
      <c r="F85" s="138">
        <v>0.2</v>
      </c>
      <c r="G85" s="137" t="s">
        <v>48</v>
      </c>
      <c r="H85" s="137" t="s">
        <v>48</v>
      </c>
      <c r="I85" s="137" t="s">
        <v>48</v>
      </c>
      <c r="J85" s="137" t="s">
        <v>48</v>
      </c>
      <c r="K85" s="591"/>
      <c r="L85" s="594"/>
      <c r="M85" s="108">
        <f t="shared" ref="M85:N87" si="15">+((20%/3)*1)</f>
        <v>6.6666666666666666E-2</v>
      </c>
      <c r="N85" s="40">
        <f t="shared" si="15"/>
        <v>6.6666666666666666E-2</v>
      </c>
      <c r="O85" s="109">
        <f t="shared" si="12"/>
        <v>1</v>
      </c>
      <c r="P85" s="108">
        <f t="shared" ref="P85:Q87" si="16">+((20%/3)*1)</f>
        <v>6.6666666666666666E-2</v>
      </c>
      <c r="Q85" s="40">
        <f t="shared" si="16"/>
        <v>6.6666666666666666E-2</v>
      </c>
      <c r="R85" s="109">
        <f t="shared" si="13"/>
        <v>1</v>
      </c>
      <c r="S85" s="108">
        <f>+((20%/3)*1)</f>
        <v>6.6666666666666666E-2</v>
      </c>
      <c r="T85" s="40">
        <f>+((20%/3)*0)</f>
        <v>0</v>
      </c>
      <c r="U85" s="109">
        <f t="shared" si="14"/>
        <v>0</v>
      </c>
      <c r="V85" s="557"/>
      <c r="W85" s="558"/>
      <c r="X85" s="558"/>
      <c r="Y85" s="110" t="s">
        <v>195</v>
      </c>
    </row>
    <row r="86" spans="1:25" ht="68.25" hidden="1" customHeight="1" outlineLevel="1" x14ac:dyDescent="0.25">
      <c r="A86" s="586"/>
      <c r="B86" s="554"/>
      <c r="C86" s="201">
        <v>44196</v>
      </c>
      <c r="D86" s="125" t="s">
        <v>196</v>
      </c>
      <c r="E86" s="123" t="s">
        <v>81</v>
      </c>
      <c r="F86" s="138">
        <v>0.2</v>
      </c>
      <c r="G86" s="137" t="s">
        <v>48</v>
      </c>
      <c r="H86" s="137" t="s">
        <v>48</v>
      </c>
      <c r="I86" s="137" t="s">
        <v>48</v>
      </c>
      <c r="J86" s="137" t="s">
        <v>48</v>
      </c>
      <c r="K86" s="591"/>
      <c r="L86" s="594"/>
      <c r="M86" s="108">
        <f t="shared" si="15"/>
        <v>6.6666666666666666E-2</v>
      </c>
      <c r="N86" s="40">
        <f t="shared" si="15"/>
        <v>6.6666666666666666E-2</v>
      </c>
      <c r="O86" s="109">
        <f t="shared" si="12"/>
        <v>1</v>
      </c>
      <c r="P86" s="108">
        <f t="shared" si="16"/>
        <v>6.6666666666666666E-2</v>
      </c>
      <c r="Q86" s="40">
        <f t="shared" si="16"/>
        <v>6.6666666666666666E-2</v>
      </c>
      <c r="R86" s="109">
        <f t="shared" si="13"/>
        <v>1</v>
      </c>
      <c r="S86" s="108">
        <f>+((20%/3)*1)</f>
        <v>6.6666666666666666E-2</v>
      </c>
      <c r="T86" s="40">
        <f>+((20%/3)*0)</f>
        <v>0</v>
      </c>
      <c r="U86" s="109">
        <f t="shared" si="14"/>
        <v>0</v>
      </c>
      <c r="V86" s="557"/>
      <c r="W86" s="558"/>
      <c r="X86" s="558"/>
      <c r="Y86" s="116" t="s">
        <v>197</v>
      </c>
    </row>
    <row r="87" spans="1:25" ht="95.25" hidden="1" customHeight="1" outlineLevel="1" x14ac:dyDescent="0.25">
      <c r="A87" s="586"/>
      <c r="B87" s="554"/>
      <c r="C87" s="201">
        <v>44196</v>
      </c>
      <c r="D87" s="105" t="s">
        <v>198</v>
      </c>
      <c r="E87" s="106" t="s">
        <v>187</v>
      </c>
      <c r="F87" s="138">
        <v>0.2</v>
      </c>
      <c r="G87" s="137" t="s">
        <v>48</v>
      </c>
      <c r="H87" s="137" t="s">
        <v>48</v>
      </c>
      <c r="I87" s="137" t="s">
        <v>48</v>
      </c>
      <c r="J87" s="137" t="s">
        <v>48</v>
      </c>
      <c r="K87" s="591"/>
      <c r="L87" s="594"/>
      <c r="M87" s="108">
        <f t="shared" si="15"/>
        <v>6.6666666666666666E-2</v>
      </c>
      <c r="N87" s="40">
        <f t="shared" si="15"/>
        <v>6.6666666666666666E-2</v>
      </c>
      <c r="O87" s="109">
        <f t="shared" si="12"/>
        <v>1</v>
      </c>
      <c r="P87" s="108">
        <f t="shared" si="16"/>
        <v>6.6666666666666666E-2</v>
      </c>
      <c r="Q87" s="40">
        <f t="shared" si="16"/>
        <v>6.6666666666666666E-2</v>
      </c>
      <c r="R87" s="109">
        <f t="shared" si="13"/>
        <v>1</v>
      </c>
      <c r="S87" s="108">
        <f>+((20%/3)*1)</f>
        <v>6.6666666666666666E-2</v>
      </c>
      <c r="T87" s="40">
        <f>+((20%/3)*0)</f>
        <v>0</v>
      </c>
      <c r="U87" s="109">
        <f t="shared" si="14"/>
        <v>0</v>
      </c>
      <c r="V87" s="557"/>
      <c r="W87" s="558"/>
      <c r="X87" s="558"/>
      <c r="Y87" s="116" t="s">
        <v>199</v>
      </c>
    </row>
    <row r="88" spans="1:25" ht="87" hidden="1" customHeight="1" outlineLevel="1" thickBot="1" x14ac:dyDescent="0.3">
      <c r="A88" s="587"/>
      <c r="B88" s="589"/>
      <c r="C88" s="202">
        <v>44196</v>
      </c>
      <c r="D88" s="203" t="s">
        <v>200</v>
      </c>
      <c r="E88" s="196" t="s">
        <v>46</v>
      </c>
      <c r="F88" s="172">
        <v>0.2</v>
      </c>
      <c r="G88" s="166"/>
      <c r="H88" s="166"/>
      <c r="I88" s="166"/>
      <c r="J88" s="166" t="s">
        <v>48</v>
      </c>
      <c r="K88" s="592"/>
      <c r="L88" s="595"/>
      <c r="M88" s="51">
        <f>+((20%/1)*0)</f>
        <v>0</v>
      </c>
      <c r="N88" s="51">
        <f>+((20%/1)*0)</f>
        <v>0</v>
      </c>
      <c r="O88" s="167">
        <f t="shared" si="12"/>
        <v>1</v>
      </c>
      <c r="P88" s="51">
        <f>+((20%/1)*0)</f>
        <v>0</v>
      </c>
      <c r="Q88" s="51">
        <f>+((20%/1)*0)</f>
        <v>0</v>
      </c>
      <c r="R88" s="167">
        <f t="shared" si="13"/>
        <v>1</v>
      </c>
      <c r="S88" s="168">
        <f>+((20%/1)*1)</f>
        <v>0.2</v>
      </c>
      <c r="T88" s="51">
        <f>+((20%/1)*0)</f>
        <v>0</v>
      </c>
      <c r="U88" s="167">
        <f t="shared" si="14"/>
        <v>0</v>
      </c>
      <c r="V88" s="597"/>
      <c r="W88" s="572"/>
      <c r="X88" s="572"/>
      <c r="Y88" s="69" t="s">
        <v>178</v>
      </c>
    </row>
    <row r="89" spans="1:25" ht="13.5" collapsed="1" thickBot="1" x14ac:dyDescent="0.3">
      <c r="A89" s="185"/>
      <c r="B89" s="185"/>
      <c r="C89" s="185"/>
      <c r="D89" s="204"/>
      <c r="E89" s="185"/>
      <c r="F89" s="205"/>
      <c r="G89" s="185"/>
      <c r="H89" s="185"/>
      <c r="I89" s="185"/>
      <c r="J89" s="185"/>
      <c r="K89" s="189"/>
      <c r="L89" s="189"/>
      <c r="M89" s="86">
        <f>SUM(M82:M88)/2</f>
        <v>0.19999999999999998</v>
      </c>
      <c r="P89" s="86">
        <f>SUM(P82:P88)/2</f>
        <v>0.1</v>
      </c>
      <c r="Q89" s="86">
        <f>SUM(Q82:Q88)/2</f>
        <v>0.1</v>
      </c>
      <c r="S89" s="86">
        <f>SUM(S82:S88)/2</f>
        <v>0.7</v>
      </c>
      <c r="U89" s="206" t="s">
        <v>111</v>
      </c>
      <c r="V89" s="207">
        <f>SUM(V82:V88)/2</f>
        <v>1</v>
      </c>
      <c r="W89" s="207">
        <f>SUM(W82:W88)/2</f>
        <v>0.3</v>
      </c>
      <c r="X89" s="208">
        <f>SUM(X82:X88)/2</f>
        <v>0.3</v>
      </c>
    </row>
    <row r="90" spans="1:25" x14ac:dyDescent="0.25">
      <c r="A90" s="185"/>
      <c r="B90" s="185"/>
      <c r="C90" s="185"/>
      <c r="D90" s="204"/>
      <c r="E90" s="185"/>
      <c r="F90" s="205"/>
      <c r="G90" s="185"/>
      <c r="H90" s="185"/>
      <c r="I90" s="185"/>
      <c r="J90" s="185"/>
      <c r="K90" s="189"/>
      <c r="L90" s="189"/>
    </row>
    <row r="91" spans="1:25" x14ac:dyDescent="0.25">
      <c r="A91" s="185"/>
      <c r="B91" s="185"/>
      <c r="C91" s="185"/>
      <c r="D91" s="204"/>
      <c r="E91" s="185"/>
      <c r="F91" s="205"/>
      <c r="G91" s="185"/>
      <c r="H91" s="185"/>
      <c r="I91" s="185"/>
      <c r="J91" s="185"/>
      <c r="K91" s="189"/>
      <c r="L91" s="189"/>
      <c r="M91" s="86"/>
      <c r="P91" s="86"/>
      <c r="S91" s="86"/>
    </row>
    <row r="92" spans="1:25" x14ac:dyDescent="0.25">
      <c r="A92" s="185"/>
      <c r="B92" s="185"/>
      <c r="C92" s="185"/>
      <c r="D92" s="204"/>
      <c r="E92" s="185"/>
      <c r="F92" s="205"/>
      <c r="G92" s="185"/>
      <c r="H92" s="185"/>
      <c r="I92" s="185"/>
      <c r="J92" s="185"/>
      <c r="K92" s="189"/>
      <c r="L92" s="189"/>
      <c r="W92" s="209" t="s">
        <v>201</v>
      </c>
      <c r="X92" s="212">
        <f>SUM(X89+X77+X63+X43+X21)/5</f>
        <v>0.53988888888888886</v>
      </c>
    </row>
    <row r="93" spans="1:25" x14ac:dyDescent="0.25">
      <c r="A93" s="185"/>
      <c r="B93" s="185"/>
      <c r="C93" s="185"/>
      <c r="D93" s="204"/>
      <c r="E93" s="185"/>
      <c r="F93" s="205"/>
      <c r="G93" s="185"/>
      <c r="H93" s="185"/>
      <c r="I93" s="185"/>
      <c r="J93" s="185"/>
      <c r="K93" s="189"/>
      <c r="L93" s="189"/>
      <c r="X93" s="210"/>
    </row>
    <row r="94" spans="1:25" x14ac:dyDescent="0.25">
      <c r="A94" s="185"/>
      <c r="B94" s="185"/>
      <c r="C94" s="185"/>
      <c r="D94" s="204"/>
      <c r="E94" s="185"/>
      <c r="F94" s="205"/>
      <c r="G94" s="185"/>
      <c r="H94" s="185"/>
      <c r="I94" s="185"/>
      <c r="J94" s="185"/>
      <c r="K94" s="189"/>
      <c r="L94" s="189"/>
    </row>
    <row r="95" spans="1:25" x14ac:dyDescent="0.25">
      <c r="A95" s="185"/>
      <c r="B95" s="185"/>
      <c r="C95" s="185"/>
      <c r="D95" s="204"/>
      <c r="E95" s="185"/>
      <c r="F95" s="205"/>
      <c r="G95" s="185"/>
      <c r="H95" s="185"/>
      <c r="I95" s="185"/>
      <c r="J95" s="185"/>
      <c r="K95" s="189"/>
      <c r="L95" s="189"/>
    </row>
    <row r="96" spans="1:25" x14ac:dyDescent="0.25">
      <c r="A96" s="185"/>
      <c r="B96" s="185"/>
      <c r="C96" s="185"/>
      <c r="D96" s="204"/>
      <c r="E96" s="185"/>
      <c r="F96" s="205"/>
      <c r="G96" s="185"/>
      <c r="H96" s="185"/>
      <c r="I96" s="185"/>
      <c r="J96" s="185"/>
      <c r="K96" s="189"/>
      <c r="L96" s="189"/>
    </row>
    <row r="97" spans="1:12" x14ac:dyDescent="0.25">
      <c r="A97" s="185"/>
      <c r="B97" s="185"/>
      <c r="C97" s="185"/>
      <c r="D97" s="204"/>
      <c r="E97" s="185"/>
      <c r="F97" s="205"/>
      <c r="G97" s="185"/>
      <c r="H97" s="185"/>
      <c r="I97" s="185"/>
      <c r="J97" s="185"/>
      <c r="K97" s="189"/>
      <c r="L97" s="189"/>
    </row>
    <row r="98" spans="1:12" x14ac:dyDescent="0.25">
      <c r="A98" s="185"/>
      <c r="B98" s="185"/>
      <c r="C98" s="185"/>
      <c r="D98" s="204"/>
      <c r="E98" s="185"/>
      <c r="F98" s="205"/>
      <c r="G98" s="185"/>
      <c r="H98" s="185"/>
      <c r="I98" s="185"/>
      <c r="J98" s="185"/>
      <c r="K98" s="189"/>
      <c r="L98" s="189"/>
    </row>
  </sheetData>
  <autoFilter ref="A12:L78"/>
  <mergeCells count="153">
    <mergeCell ref="A84:A88"/>
    <mergeCell ref="B84:B88"/>
    <mergeCell ref="K84:K88"/>
    <mergeCell ref="L84:L88"/>
    <mergeCell ref="V84:V88"/>
    <mergeCell ref="W84:W88"/>
    <mergeCell ref="X84:X88"/>
    <mergeCell ref="A79:B79"/>
    <mergeCell ref="C79:J79"/>
    <mergeCell ref="A80:A81"/>
    <mergeCell ref="G80:J80"/>
    <mergeCell ref="M80:Y80"/>
    <mergeCell ref="A82:A83"/>
    <mergeCell ref="B82:B83"/>
    <mergeCell ref="C82:C83"/>
    <mergeCell ref="L82:L83"/>
    <mergeCell ref="V82:V83"/>
    <mergeCell ref="W82:W83"/>
    <mergeCell ref="X82:X83"/>
    <mergeCell ref="W68:W71"/>
    <mergeCell ref="X68:X71"/>
    <mergeCell ref="A72:A75"/>
    <mergeCell ref="B72:B75"/>
    <mergeCell ref="C72:C75"/>
    <mergeCell ref="K72:K75"/>
    <mergeCell ref="L72:L75"/>
    <mergeCell ref="V72:V75"/>
    <mergeCell ref="W72:W75"/>
    <mergeCell ref="X72:X75"/>
    <mergeCell ref="A68:A71"/>
    <mergeCell ref="B68:B71"/>
    <mergeCell ref="C68:C71"/>
    <mergeCell ref="K68:K71"/>
    <mergeCell ref="L68:L71"/>
    <mergeCell ref="V68:V71"/>
    <mergeCell ref="X60:X62"/>
    <mergeCell ref="A65:B65"/>
    <mergeCell ref="C65:L65"/>
    <mergeCell ref="A66:A67"/>
    <mergeCell ref="G66:J66"/>
    <mergeCell ref="L66:L67"/>
    <mergeCell ref="M66:Y66"/>
    <mergeCell ref="A60:A62"/>
    <mergeCell ref="C60:C62"/>
    <mergeCell ref="K60:K62"/>
    <mergeCell ref="L60:L62"/>
    <mergeCell ref="V60:V62"/>
    <mergeCell ref="W60:W62"/>
    <mergeCell ref="W54:W56"/>
    <mergeCell ref="X54:X56"/>
    <mergeCell ref="A57:A59"/>
    <mergeCell ref="B57:B59"/>
    <mergeCell ref="C57:C59"/>
    <mergeCell ref="K57:K59"/>
    <mergeCell ref="L57:L59"/>
    <mergeCell ref="V57:V59"/>
    <mergeCell ref="W57:W59"/>
    <mergeCell ref="X57:X59"/>
    <mergeCell ref="A54:A56"/>
    <mergeCell ref="B54:B56"/>
    <mergeCell ref="C54:C56"/>
    <mergeCell ref="K54:K56"/>
    <mergeCell ref="L54:L56"/>
    <mergeCell ref="V54:V56"/>
    <mergeCell ref="W49:W51"/>
    <mergeCell ref="X49:X51"/>
    <mergeCell ref="A52:A53"/>
    <mergeCell ref="C52:C53"/>
    <mergeCell ref="K52:K53"/>
    <mergeCell ref="L52:L53"/>
    <mergeCell ref="V52:V53"/>
    <mergeCell ref="W52:W53"/>
    <mergeCell ref="X52:X53"/>
    <mergeCell ref="A49:A51"/>
    <mergeCell ref="B49:B50"/>
    <mergeCell ref="C49:C51"/>
    <mergeCell ref="K49:K51"/>
    <mergeCell ref="L49:L51"/>
    <mergeCell ref="V49:V51"/>
    <mergeCell ref="A47:A48"/>
    <mergeCell ref="G47:J47"/>
    <mergeCell ref="L47:L48"/>
    <mergeCell ref="M47:Y47"/>
    <mergeCell ref="X33:X34"/>
    <mergeCell ref="A35:A42"/>
    <mergeCell ref="B35:B41"/>
    <mergeCell ref="C35:C41"/>
    <mergeCell ref="E35:E36"/>
    <mergeCell ref="K35:K41"/>
    <mergeCell ref="L35:L42"/>
    <mergeCell ref="A33:A34"/>
    <mergeCell ref="B33:B34"/>
    <mergeCell ref="C33:C34"/>
    <mergeCell ref="K33:K34"/>
    <mergeCell ref="L33:L34"/>
    <mergeCell ref="V33:V34"/>
    <mergeCell ref="W33:W34"/>
    <mergeCell ref="A46:B46"/>
    <mergeCell ref="C46:L46"/>
    <mergeCell ref="X35:X41"/>
    <mergeCell ref="W35:W41"/>
    <mergeCell ref="V35:V41"/>
    <mergeCell ref="A26:A27"/>
    <mergeCell ref="G26:J26"/>
    <mergeCell ref="L26:L27"/>
    <mergeCell ref="M26:Y26"/>
    <mergeCell ref="A25:B25"/>
    <mergeCell ref="C25:L25"/>
    <mergeCell ref="A28:A32"/>
    <mergeCell ref="B28:B32"/>
    <mergeCell ref="C28:C32"/>
    <mergeCell ref="K28:K32"/>
    <mergeCell ref="L28:L32"/>
    <mergeCell ref="V28:V32"/>
    <mergeCell ref="W28:W32"/>
    <mergeCell ref="X28:X32"/>
    <mergeCell ref="E29:E32"/>
    <mergeCell ref="A1:A4"/>
    <mergeCell ref="B1:J5"/>
    <mergeCell ref="K1:L2"/>
    <mergeCell ref="K3:L3"/>
    <mergeCell ref="A6:B6"/>
    <mergeCell ref="C6:L6"/>
    <mergeCell ref="A11:A12"/>
    <mergeCell ref="F11:F12"/>
    <mergeCell ref="G11:J11"/>
    <mergeCell ref="L11:L12"/>
    <mergeCell ref="A7:B7"/>
    <mergeCell ref="C7:L7"/>
    <mergeCell ref="A8:L8"/>
    <mergeCell ref="A9:B9"/>
    <mergeCell ref="C9:L9"/>
    <mergeCell ref="A10:B10"/>
    <mergeCell ref="C10:L10"/>
    <mergeCell ref="M11:Y11"/>
    <mergeCell ref="A13:A17"/>
    <mergeCell ref="B13:B17"/>
    <mergeCell ref="C13:C17"/>
    <mergeCell ref="K13:K17"/>
    <mergeCell ref="L13:L17"/>
    <mergeCell ref="X18:X19"/>
    <mergeCell ref="A23:B23"/>
    <mergeCell ref="C23:L23"/>
    <mergeCell ref="V13:V17"/>
    <mergeCell ref="W13:W17"/>
    <mergeCell ref="X13:X17"/>
    <mergeCell ref="A18:A19"/>
    <mergeCell ref="B18:B19"/>
    <mergeCell ref="C18:C19"/>
    <mergeCell ref="K18:K19"/>
    <mergeCell ref="L18:L19"/>
    <mergeCell ref="V18:V19"/>
    <mergeCell ref="W18:W19"/>
  </mergeCells>
  <pageMargins left="0" right="0" top="0" bottom="0" header="0" footer="0"/>
  <pageSetup paperSize="5" scale="30" orientation="landscape" horizontalDpi="300" verticalDpi="300" r:id="rId1"/>
  <headerFooter alignWithMargins="0"/>
  <rowBreaks count="1" manualBreakCount="1">
    <brk id="38"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Riesgos Corrupción </vt:lpstr>
      <vt:lpstr>PAAC 2020 - 2do cuatrimestre</vt:lpstr>
      <vt:lpstr>'Mapa Riesgos Corrupción '!Área_de_impresión</vt:lpstr>
      <vt:lpstr>'PAAC 2020 - 2do cuatrimestre'!Área_de_impresión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DCC-Usuario2</dc:creator>
  <cp:lastModifiedBy>Carmen Rubio</cp:lastModifiedBy>
  <dcterms:created xsi:type="dcterms:W3CDTF">2020-09-08T17:34:52Z</dcterms:created>
  <dcterms:modified xsi:type="dcterms:W3CDTF">2021-10-22T17:03:08Z</dcterms:modified>
</cp:coreProperties>
</file>